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10" windowHeight="11010" tabRatio="650" firstSheet="4" activeTab="10"/>
  </bookViews>
  <sheets>
    <sheet name="příjmy SMOl 2008-2013" sheetId="1" r:id="rId1"/>
    <sheet name="daně bez HČ 2008-2013" sheetId="2" r:id="rId2"/>
    <sheet name="HČ 2008-2013" sheetId="3" r:id="rId3"/>
    <sheet name="glob.dotace 2008-2013" sheetId="4" r:id="rId4"/>
    <sheet name="provoz SMOl 2008-2013" sheetId="5" r:id="rId5"/>
    <sheet name="mzdy 2008-2013" sheetId="6" r:id="rId6"/>
    <sheet name="OVS 2008-2013 " sheetId="7" r:id="rId7"/>
    <sheet name="transf. SMOl 2008-2013" sheetId="8" r:id="rId8"/>
    <sheet name="provoz.přísp.sp..2008-2013" sheetId="9" r:id="rId9"/>
    <sheet name="investice SMOl 2008-2013" sheetId="10" r:id="rId10"/>
    <sheet name="FINANCOVÁNÍ INVESTIC" sheetId="11" r:id="rId11"/>
    <sheet name="Zadluženost k 31.12.2013" sheetId="12" r:id="rId12"/>
  </sheets>
  <definedNames>
    <definedName name="_xlnm.Print_Area" localSheetId="1">'daně bez HČ 2008-2013'!$A$1:$G$36</definedName>
    <definedName name="_xlnm.Print_Area" localSheetId="10">'FINANCOVÁNÍ INVESTIC'!$A$1:$G$35</definedName>
    <definedName name="_xlnm.Print_Area" localSheetId="3">'glob.dotace 2008-2013'!$A$1:$G$33</definedName>
    <definedName name="_xlnm.Print_Area" localSheetId="2">'HČ 2008-2013'!$A$1:$G$34</definedName>
    <definedName name="_xlnm.Print_Area" localSheetId="9">'investice SMOl 2008-2013'!$A$1:$G$35</definedName>
    <definedName name="_xlnm.Print_Area" localSheetId="5">'mzdy 2008-2013'!$A$1:$G$35</definedName>
    <definedName name="_xlnm.Print_Area" localSheetId="6">'OVS 2008-2013 '!$A$1:$G$68</definedName>
    <definedName name="_xlnm.Print_Area" localSheetId="4">'provoz SMOl 2008-2013'!$A$1:$G$33</definedName>
    <definedName name="_xlnm.Print_Area" localSheetId="8">'provoz.přísp.sp..2008-2013'!$A$1:$G$30</definedName>
    <definedName name="_xlnm.Print_Area" localSheetId="0">'příjmy SMOl 2008-2013'!$A$1:$G$32</definedName>
    <definedName name="_xlnm.Print_Area" localSheetId="7">'transf. SMOl 2008-2013'!$A$1:$G$38</definedName>
  </definedNames>
  <calcPr fullCalcOnLoad="1"/>
</workbook>
</file>

<file path=xl/sharedStrings.xml><?xml version="1.0" encoding="utf-8"?>
<sst xmlns="http://schemas.openxmlformats.org/spreadsheetml/2006/main" count="239" uniqueCount="134">
  <si>
    <t>celkem mzdy Městská policie</t>
  </si>
  <si>
    <t>CELKEM MZDY</t>
  </si>
  <si>
    <t>provozní náklady / rok</t>
  </si>
  <si>
    <t xml:space="preserve">skutečnost </t>
  </si>
  <si>
    <t>subjekt / rok</t>
  </si>
  <si>
    <t>Technické služby města Olomouce, a.s.</t>
  </si>
  <si>
    <t xml:space="preserve">Dopravní obslužnost </t>
  </si>
  <si>
    <t>Správa nemovitostí Olomouc, a.s.</t>
  </si>
  <si>
    <t>z toho: DPMO,a.s.</t>
  </si>
  <si>
    <t>CELKEM OBJEDNÁVKY VEŘEJNÝCH SLUŽEB</t>
  </si>
  <si>
    <t>Výstaviště FLORA, a.s.</t>
  </si>
  <si>
    <t>CELKEM daně</t>
  </si>
  <si>
    <t>Neinv. příjaté transfery v rámci souhrnného dotačního vztahu (globální dotace)</t>
  </si>
  <si>
    <t>CELKEM globální dotace</t>
  </si>
  <si>
    <t>CELKEM hospodářská činnost</t>
  </si>
  <si>
    <r>
      <t xml:space="preserve">Hospodářská činnost </t>
    </r>
    <r>
      <rPr>
        <sz val="12"/>
        <rFont val="Arial Narrow"/>
        <family val="2"/>
      </rPr>
      <t>(dan z příjmů právnických osob za obce + převody z vlastních fondů hospodářské činnosti)</t>
    </r>
  </si>
  <si>
    <r>
      <t xml:space="preserve">           ostatní </t>
    </r>
    <r>
      <rPr>
        <sz val="10"/>
        <rFont val="Arial Narrow"/>
        <family val="2"/>
      </rPr>
      <t>(smluv. jízdné, tisk jízdních řádů, objížďky…)</t>
    </r>
  </si>
  <si>
    <t>příjmy / rok</t>
  </si>
  <si>
    <t>HČ / rok</t>
  </si>
  <si>
    <t>globální dotace / rok</t>
  </si>
  <si>
    <t>CELKEM  provozní náklady SMOl</t>
  </si>
  <si>
    <t>mzdy / rok</t>
  </si>
  <si>
    <t>Aquapark, a.s.</t>
  </si>
  <si>
    <t>CELKEM provozní příspěvky</t>
  </si>
  <si>
    <t>Tř. 1 - daňové příjmy</t>
  </si>
  <si>
    <t>Tř. 2 - nedaňové příjmy</t>
  </si>
  <si>
    <t>Tř. 3 - kapitálové příjmy</t>
  </si>
  <si>
    <t>Tř. 4 - přijaté transfery</t>
  </si>
  <si>
    <t>CELKEM příjmy vč. hospod. činnosti</t>
  </si>
  <si>
    <t>kapitálové výdaje / rok</t>
  </si>
  <si>
    <t>Investice MMOl</t>
  </si>
  <si>
    <t>Investice SNO, a. s. z nájemného</t>
  </si>
  <si>
    <t>Investice MOVO, a. s. z nájemného</t>
  </si>
  <si>
    <t>Celkem kapitálové náklady</t>
  </si>
  <si>
    <t>neinvestiční transfery a granty  - výdaje / rok</t>
  </si>
  <si>
    <t>Oblast sportu</t>
  </si>
  <si>
    <t>Oblast kultury</t>
  </si>
  <si>
    <t>Oblast sociální</t>
  </si>
  <si>
    <t xml:space="preserve">Celkem </t>
  </si>
  <si>
    <t>daň / rok</t>
  </si>
  <si>
    <t>Daň z příjmů fyzických osob ze závislé činnosti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</si>
  <si>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</si>
  <si>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</si>
  <si>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</si>
  <si>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</si>
  <si>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>Daň z nemovitostí</t>
  </si>
  <si>
    <t>Zimní stadion - provoz</t>
  </si>
  <si>
    <t>Zpracovala: Kotelenská, Kroutilová</t>
  </si>
  <si>
    <t>Investiční dotace</t>
  </si>
  <si>
    <t>vlastní zdroje</t>
  </si>
  <si>
    <t>celkem mzdy MMOl</t>
  </si>
  <si>
    <t xml:space="preserve">rok přijetí </t>
  </si>
  <si>
    <t>účel úvěru</t>
  </si>
  <si>
    <t>2014           tis. Kč</t>
  </si>
  <si>
    <t>2015           tis. Kč</t>
  </si>
  <si>
    <t>2016           tis. Kč</t>
  </si>
  <si>
    <t>2017           tis. Kč</t>
  </si>
  <si>
    <t>2018           tis. Kč</t>
  </si>
  <si>
    <t>2019           tis. Kč</t>
  </si>
  <si>
    <t>2020           tis. Kč</t>
  </si>
  <si>
    <t>2021           tis. Kč</t>
  </si>
  <si>
    <t>2022           tis. Kč</t>
  </si>
  <si>
    <t>2023           tis. Kč</t>
  </si>
  <si>
    <t>2024           tis. Kč</t>
  </si>
  <si>
    <t>2025           tis. Kč</t>
  </si>
  <si>
    <t>splatnost</t>
  </si>
  <si>
    <t>refinancování úvěrů</t>
  </si>
  <si>
    <t>2008</t>
  </si>
  <si>
    <t>krátkodobý provozní úvěr</t>
  </si>
  <si>
    <t>dlouhodobý investiční úvěr</t>
  </si>
  <si>
    <t>2016</t>
  </si>
  <si>
    <t>2018</t>
  </si>
  <si>
    <t>2034</t>
  </si>
  <si>
    <t>2035</t>
  </si>
  <si>
    <t>2036</t>
  </si>
  <si>
    <t>2037</t>
  </si>
  <si>
    <t>směnečný program</t>
  </si>
  <si>
    <t>2022</t>
  </si>
  <si>
    <t>2032</t>
  </si>
  <si>
    <t>celkem úvěry v Kč</t>
  </si>
  <si>
    <t>x</t>
  </si>
  <si>
    <t>vodohospodářské investiční akce</t>
  </si>
  <si>
    <t>2020</t>
  </si>
  <si>
    <t>fin.výpomoc - čistírna odpad. vod</t>
  </si>
  <si>
    <t>2021</t>
  </si>
  <si>
    <t>úroč.půjčka na rekult. Skládky Grygov</t>
  </si>
  <si>
    <t>Fond rozvoje bydlení</t>
  </si>
  <si>
    <t>2023</t>
  </si>
  <si>
    <t>Investiční půjčka</t>
  </si>
  <si>
    <t>úročená půjčka na ISPA</t>
  </si>
  <si>
    <t>2013</t>
  </si>
  <si>
    <t>celkem půjčky v Kč</t>
  </si>
  <si>
    <t>ZADLUŽENOST CELKEM  v  tis. Kč  vč. revolvingu</t>
  </si>
  <si>
    <t>ROČNÍ SPLÁTKY JISTIN CELKEM   ( bez revolvingu )</t>
  </si>
  <si>
    <t>ÚROKY CELKEM</t>
  </si>
  <si>
    <t>CELKEM SPLÁTKY JISTINY + ÚROKY</t>
  </si>
  <si>
    <r>
      <t>věřitel</t>
    </r>
    <r>
      <rPr>
        <b/>
        <sz val="9"/>
        <rFont val="Arial Narrow"/>
        <family val="2"/>
      </rPr>
      <t xml:space="preserve"> / celková výše úvěru</t>
    </r>
  </si>
  <si>
    <r>
      <t xml:space="preserve">ČS, a. s. </t>
    </r>
    <r>
      <rPr>
        <sz val="9"/>
        <rFont val="Arial Narrow"/>
        <family val="2"/>
      </rPr>
      <t>/ 99 000 000,-</t>
    </r>
  </si>
  <si>
    <r>
      <t xml:space="preserve">ČS, a. s. </t>
    </r>
    <r>
      <rPr>
        <sz val="9"/>
        <rFont val="Arial Narrow"/>
        <family val="2"/>
      </rPr>
      <t>/ 81 000 000,-</t>
    </r>
  </si>
  <si>
    <r>
      <t xml:space="preserve">KB, a. s. </t>
    </r>
    <r>
      <rPr>
        <sz val="9"/>
        <rFont val="Arial Narrow"/>
        <family val="2"/>
      </rPr>
      <t>/ 129 000 000,-</t>
    </r>
  </si>
  <si>
    <r>
      <t>Komerční banka, a. s.</t>
    </r>
    <r>
      <rPr>
        <sz val="9"/>
        <rFont val="Arial Narrow"/>
        <family val="2"/>
      </rPr>
      <t xml:space="preserve"> / 30 000 000,-</t>
    </r>
  </si>
  <si>
    <r>
      <t>KKA AG</t>
    </r>
    <r>
      <rPr>
        <sz val="9"/>
        <rFont val="Arial Narrow"/>
        <family val="2"/>
      </rPr>
      <t xml:space="preserve"> / 200 000 000,-</t>
    </r>
  </si>
  <si>
    <r>
      <t>Komerční banka, a. s.</t>
    </r>
    <r>
      <rPr>
        <sz val="9"/>
        <rFont val="Arial Narrow"/>
        <family val="2"/>
      </rPr>
      <t xml:space="preserve"> / 350 000 000,-</t>
    </r>
  </si>
  <si>
    <r>
      <t>Česká spořitelna, a. s</t>
    </r>
    <r>
      <rPr>
        <sz val="9"/>
        <rFont val="Arial Narrow"/>
        <family val="2"/>
      </rPr>
      <t>. / 200 000 000,-</t>
    </r>
  </si>
  <si>
    <r>
      <t>EIB</t>
    </r>
    <r>
      <rPr>
        <sz val="9"/>
        <rFont val="Arial Narrow"/>
        <family val="2"/>
      </rPr>
      <t xml:space="preserve"> / 250 000 000,-</t>
    </r>
  </si>
  <si>
    <r>
      <t>EIB</t>
    </r>
    <r>
      <rPr>
        <sz val="9"/>
        <rFont val="Arial Narrow"/>
        <family val="2"/>
      </rPr>
      <t xml:space="preserve"> / 150 000 000,-</t>
    </r>
  </si>
  <si>
    <r>
      <t xml:space="preserve">Komerční banka, a. s. </t>
    </r>
    <r>
      <rPr>
        <sz val="9"/>
        <rFont val="Arial Narrow"/>
        <family val="2"/>
      </rPr>
      <t>/ 176 000 000,-</t>
    </r>
  </si>
  <si>
    <r>
      <t xml:space="preserve">Komerční banka, a. s. </t>
    </r>
    <r>
      <rPr>
        <sz val="9"/>
        <rFont val="Arial Narrow"/>
        <family val="2"/>
      </rPr>
      <t>/  84 000 000,-</t>
    </r>
  </si>
  <si>
    <r>
      <t xml:space="preserve">MOVO, a. s. </t>
    </r>
    <r>
      <rPr>
        <sz val="9"/>
        <rFont val="Arial Narrow"/>
        <family val="2"/>
      </rPr>
      <t>/ 200 000 000,- (dříve SMV)</t>
    </r>
  </si>
  <si>
    <r>
      <t>MF ČR</t>
    </r>
    <r>
      <rPr>
        <sz val="9"/>
        <rFont val="Arial Narrow"/>
        <family val="2"/>
      </rPr>
      <t xml:space="preserve"> / 168 900 000,-</t>
    </r>
  </si>
  <si>
    <r>
      <t>SFŽP ČR</t>
    </r>
    <r>
      <rPr>
        <sz val="9"/>
        <rFont val="Arial Narrow"/>
        <family val="2"/>
      </rPr>
      <t xml:space="preserve"> / 9 712 000,-</t>
    </r>
  </si>
  <si>
    <r>
      <t xml:space="preserve">MMR ČR </t>
    </r>
    <r>
      <rPr>
        <sz val="9"/>
        <rFont val="Arial Narrow"/>
        <family val="2"/>
      </rPr>
      <t xml:space="preserve"> / 92 809 000,-</t>
    </r>
  </si>
  <si>
    <r>
      <t>Česko-Britská mezinárodní škola</t>
    </r>
    <r>
      <rPr>
        <sz val="9"/>
        <rFont val="Arial Narrow"/>
        <family val="2"/>
      </rPr>
      <t xml:space="preserve">                    / 1 800 000,--</t>
    </r>
  </si>
  <si>
    <r>
      <t>SFŽP ČR</t>
    </r>
    <r>
      <rPr>
        <sz val="9"/>
        <rFont val="Arial Narrow"/>
        <family val="2"/>
      </rPr>
      <t xml:space="preserve"> / 17 050 000,-</t>
    </r>
  </si>
  <si>
    <t>skutečnost</t>
  </si>
  <si>
    <t xml:space="preserve">           ARRIVA Morava, a.s.</t>
  </si>
  <si>
    <t>Investiční úvěr nárůst financování</t>
  </si>
  <si>
    <t>Ostatní oblasti</t>
  </si>
  <si>
    <t>zadluženost                k 31. 12. 2013                          v Kč</t>
  </si>
  <si>
    <t>2014</t>
  </si>
  <si>
    <t>0</t>
  </si>
  <si>
    <t>2033</t>
  </si>
  <si>
    <t>2038</t>
  </si>
  <si>
    <r>
      <t xml:space="preserve">Komerční banka, a. s. </t>
    </r>
    <r>
      <rPr>
        <sz val="9"/>
        <rFont val="Arial Narrow"/>
        <family val="2"/>
      </rPr>
      <t>/  180 000 000,-</t>
    </r>
  </si>
  <si>
    <r>
      <t>EIB</t>
    </r>
    <r>
      <rPr>
        <sz val="9"/>
        <rFont val="Arial Narrow"/>
        <family val="2"/>
      </rPr>
      <t xml:space="preserve"> / 200 000 000,-</t>
    </r>
  </si>
  <si>
    <r>
      <t>Olterm</t>
    </r>
    <r>
      <rPr>
        <sz val="12"/>
        <rFont val="Arial"/>
        <family val="2"/>
      </rPr>
      <t>&amp;TD Olomouc</t>
    </r>
    <r>
      <rPr>
        <sz val="12"/>
        <rFont val="Arial Narrow"/>
        <family val="2"/>
      </rPr>
      <t>, a.s. - provoz plaveckého stadionu</t>
    </r>
  </si>
  <si>
    <t>zadluženost            k 31.12.2005                                   v Kč</t>
  </si>
  <si>
    <t>2006                    v tis. Kč</t>
  </si>
  <si>
    <t>2007                    v tis. Kč</t>
  </si>
  <si>
    <t>2008                    v tis. Kč</t>
  </si>
  <si>
    <t>2009                    v tis. Kč</t>
  </si>
  <si>
    <t>zadluženost            k 31.12.2011                                   v Kč</t>
  </si>
  <si>
    <t>zadluženost                k 31. 12. 2012                          v Kč</t>
  </si>
  <si>
    <t>2013           tis. Kč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</si>
</sst>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#,##0.00\ _K_č"/>
    <numFmt numFmtId="167" formatCode="#,##0\ &quot;Kč&quot;"/>
    <numFmt numFmtId="168" formatCode="#,##0.00\ &quot;Kč&quot;"/>
    <numFmt numFmtId="169" formatCode="0.E+00"/>
    <numFmt numFmtId="170" formatCode="#,##0\ &quot;Kč&quot;;[Red]#,##0\ &quot;Kč&quot;"/>
    <numFmt numFmtId="171" formatCode="#,##0.0\ &quot;Kč&quot;;[Red]#,##0.0\ &quot;Kč&quot;"/>
    <numFmt numFmtId="172" formatCode="[&lt;=99999]###\ ##;##\ ##\ ##"/>
    <numFmt numFmtId="173" formatCode="0.00\E\3\+0"/>
    <numFmt numFmtId="174" formatCode="0.0000"/>
    <numFmt numFmtId="175" formatCode="#,##0.0000;[Red]#,##0.0000"/>
    <numFmt numFmtId="176" formatCode="#,##0.00000;[Red]#,##0.00000"/>
    <numFmt numFmtId="177" formatCode="#,##0.00_ ;\-#,##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2.5"/>
      <color indexed="8"/>
      <name val="Arial CE"/>
      <family val="0"/>
    </font>
    <font>
      <sz val="1.75"/>
      <color indexed="8"/>
      <name val="Arial CE"/>
      <family val="0"/>
    </font>
    <font>
      <sz val="7.35"/>
      <color indexed="8"/>
      <name val="Arial CE"/>
      <family val="0"/>
    </font>
    <font>
      <sz val="2"/>
      <color indexed="8"/>
      <name val="Arial CE"/>
      <family val="0"/>
    </font>
    <font>
      <sz val="11.25"/>
      <color indexed="8"/>
      <name val="Arial CE"/>
      <family val="0"/>
    </font>
    <font>
      <sz val="8.5"/>
      <color indexed="8"/>
      <name val="Arial CE"/>
      <family val="0"/>
    </font>
    <font>
      <b/>
      <sz val="11.25"/>
      <color indexed="8"/>
      <name val="Arial CE"/>
      <family val="0"/>
    </font>
    <font>
      <sz val="9.2"/>
      <color indexed="8"/>
      <name val="Arial CE"/>
      <family val="0"/>
    </font>
    <font>
      <sz val="11.75"/>
      <color indexed="8"/>
      <name val="Arial CE"/>
      <family val="0"/>
    </font>
    <font>
      <sz val="8.75"/>
      <color indexed="8"/>
      <name val="Arial CE"/>
      <family val="0"/>
    </font>
    <font>
      <sz val="9.75"/>
      <color indexed="8"/>
      <name val="Arial CE"/>
      <family val="0"/>
    </font>
    <font>
      <sz val="12"/>
      <color indexed="8"/>
      <name val="Arial CE"/>
      <family val="0"/>
    </font>
    <font>
      <b/>
      <sz val="10.25"/>
      <color indexed="8"/>
      <name val="Arial CE"/>
      <family val="0"/>
    </font>
    <font>
      <b/>
      <sz val="8.75"/>
      <color indexed="8"/>
      <name val="Arial CE"/>
      <family val="0"/>
    </font>
    <font>
      <b/>
      <sz val="10"/>
      <color indexed="8"/>
      <name val="Arial CE"/>
      <family val="0"/>
    </font>
    <font>
      <b/>
      <sz val="10.5"/>
      <color indexed="8"/>
      <name val="Arial CE"/>
      <family val="0"/>
    </font>
    <font>
      <b/>
      <sz val="9"/>
      <name val="Arial Narrow"/>
      <family val="2"/>
    </font>
    <font>
      <b/>
      <sz val="9"/>
      <color indexed="57"/>
      <name val="Arial Narrow"/>
      <family val="2"/>
    </font>
    <font>
      <sz val="9"/>
      <name val="Arial Narrow"/>
      <family val="2"/>
    </font>
    <font>
      <sz val="9"/>
      <color indexed="57"/>
      <name val="Arial Narrow"/>
      <family val="2"/>
    </font>
    <font>
      <sz val="9"/>
      <name val="Arial CE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.5"/>
      <color indexed="8"/>
      <name val="Arial CE"/>
      <family val="0"/>
    </font>
    <font>
      <b/>
      <sz val="11"/>
      <color indexed="8"/>
      <name val="Arial CE"/>
      <family val="0"/>
    </font>
    <font>
      <sz val="10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12"/>
      <name val="Arial"/>
      <family val="0"/>
    </font>
    <font>
      <b/>
      <sz val="9"/>
      <color indexed="14"/>
      <name val="Arial"/>
      <family val="0"/>
    </font>
    <font>
      <b/>
      <sz val="9"/>
      <color indexed="16"/>
      <name val="Arial"/>
      <family val="0"/>
    </font>
    <font>
      <b/>
      <sz val="9"/>
      <color indexed="17"/>
      <name val="Arial"/>
      <family val="0"/>
    </font>
    <font>
      <b/>
      <sz val="9"/>
      <color indexed="28"/>
      <name val="Arial"/>
      <family val="0"/>
    </font>
    <font>
      <sz val="9.2"/>
      <color indexed="8"/>
      <name val="Arial"/>
      <family val="0"/>
    </font>
    <font>
      <b/>
      <sz val="11.25"/>
      <color indexed="8"/>
      <name val="Arial"/>
      <family val="0"/>
    </font>
    <font>
      <b/>
      <sz val="11.5"/>
      <color indexed="8"/>
      <name val="Arial CE"/>
      <family val="0"/>
    </font>
    <font>
      <b/>
      <sz val="9.75"/>
      <color indexed="8"/>
      <name val="Arial"/>
      <family val="0"/>
    </font>
    <font>
      <b/>
      <sz val="10.25"/>
      <color indexed="12"/>
      <name val="Arial"/>
      <family val="0"/>
    </font>
    <font>
      <sz val="9.4"/>
      <color indexed="8"/>
      <name val="Arial"/>
      <family val="0"/>
    </font>
    <font>
      <sz val="8.5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12"/>
      <name val="Arial"/>
      <family val="0"/>
    </font>
    <font>
      <b/>
      <sz val="8.5"/>
      <color indexed="14"/>
      <name val="Arial"/>
      <family val="0"/>
    </font>
    <font>
      <b/>
      <sz val="8.5"/>
      <color indexed="17"/>
      <name val="Arial"/>
      <family val="0"/>
    </font>
    <font>
      <b/>
      <sz val="8.5"/>
      <color indexed="16"/>
      <name val="Arial"/>
      <family val="0"/>
    </font>
    <font>
      <b/>
      <sz val="12"/>
      <color indexed="8"/>
      <name val="Arial"/>
      <family val="0"/>
    </font>
    <font>
      <sz val="12"/>
      <name val="Arial"/>
      <family val="2"/>
    </font>
    <font>
      <b/>
      <sz val="10.75"/>
      <name val="Arial"/>
      <family val="0"/>
    </font>
    <font>
      <sz val="9.25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7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3" fontId="5" fillId="17" borderId="10" xfId="0" applyNumberFormat="1" applyFont="1" applyFill="1" applyBorder="1" applyAlignment="1">
      <alignment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3" fontId="4" fillId="24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3" fontId="25" fillId="0" borderId="20" xfId="0" applyNumberFormat="1" applyFont="1" applyBorder="1" applyAlignment="1">
      <alignment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3" fillId="4" borderId="11" xfId="0" applyFont="1" applyFill="1" applyBorder="1" applyAlignment="1">
      <alignment horizontal="right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vertical="center" wrapText="1"/>
    </xf>
    <xf numFmtId="3" fontId="23" fillId="4" borderId="22" xfId="0" applyNumberFormat="1" applyFont="1" applyFill="1" applyBorder="1" applyAlignment="1">
      <alignment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3" fontId="23" fillId="4" borderId="10" xfId="0" applyNumberFormat="1" applyFont="1" applyFill="1" applyBorder="1" applyAlignment="1">
      <alignment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4" borderId="21" xfId="0" applyFont="1" applyFill="1" applyBorder="1" applyAlignment="1">
      <alignment horizontal="left" vertical="center" wrapText="1"/>
    </xf>
    <xf numFmtId="0" fontId="23" fillId="4" borderId="21" xfId="0" applyFont="1" applyFill="1" applyBorder="1" applyAlignment="1">
      <alignment vertical="center" wrapText="1"/>
    </xf>
    <xf numFmtId="3" fontId="28" fillId="4" borderId="10" xfId="0" applyNumberFormat="1" applyFont="1" applyFill="1" applyBorder="1" applyAlignment="1">
      <alignment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4" fillId="0" borderId="23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23" fillId="4" borderId="17" xfId="0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8" xfId="0" applyNumberFormat="1" applyFont="1" applyBorder="1" applyAlignment="1">
      <alignment vertical="center" wrapText="1"/>
    </xf>
    <xf numFmtId="3" fontId="25" fillId="0" borderId="18" xfId="0" applyNumberFormat="1" applyFont="1" applyFill="1" applyBorder="1" applyAlignment="1">
      <alignment vertical="center" wrapText="1"/>
    </xf>
    <xf numFmtId="3" fontId="25" fillId="0" borderId="20" xfId="0" applyNumberFormat="1" applyFont="1" applyFill="1" applyBorder="1" applyAlignment="1">
      <alignment vertical="center" wrapText="1"/>
    </xf>
    <xf numFmtId="4" fontId="25" fillId="0" borderId="22" xfId="0" applyNumberFormat="1" applyFont="1" applyBorder="1" applyAlignment="1">
      <alignment vertical="center" wrapText="1"/>
    </xf>
    <xf numFmtId="4" fontId="23" fillId="4" borderId="22" xfId="0" applyNumberFormat="1" applyFont="1" applyFill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vertical="center" wrapText="1"/>
    </xf>
    <xf numFmtId="4" fontId="23" fillId="4" borderId="10" xfId="0" applyNumberFormat="1" applyFont="1" applyFill="1" applyBorder="1" applyAlignment="1">
      <alignment vertical="center" wrapText="1"/>
    </xf>
    <xf numFmtId="4" fontId="23" fillId="4" borderId="10" xfId="0" applyNumberFormat="1" applyFont="1" applyFill="1" applyBorder="1" applyAlignment="1">
      <alignment horizontal="center" vertical="center" wrapText="1"/>
    </xf>
    <xf numFmtId="3" fontId="23" fillId="4" borderId="10" xfId="0" applyNumberFormat="1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'příjmy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'příjmy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'příjmy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'příjmy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'příjmy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'příjmy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'příjmy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6585168"/>
        <c:axId val="15048785"/>
      </c:bar3D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585168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hospodářské činnosti za období 2008 - 2013 v tis. Kč</a:t>
            </a:r>
          </a:p>
        </c:rich>
      </c:tx>
      <c:layout>
        <c:manualLayout>
          <c:xMode val="factor"/>
          <c:yMode val="factor"/>
          <c:x val="-0.24125"/>
          <c:y val="-0.0022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4"/>
          <c:w val="0.982"/>
          <c:h val="0.852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'HČ 2008-2013'!$A$4</c:f>
              <c:strCache>
                <c:ptCount val="1"/>
                <c:pt idx="0">
                  <c:v>CELKEM hospodářská činnost</c:v>
                </c:pt>
              </c:strCache>
            </c:strRef>
          </c:tx>
          <c:spPr>
            <a:pattFill prst="pct5">
              <a:fgClr>
                <a:srgbClr val="FFFF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'HČ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'HČ 2008-2013'!$B$4:$G$4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44344234"/>
        <c:axId val="63553787"/>
      </c:bar3D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  <c:max val="5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344234"/>
        <c:crossesAt val="1"/>
        <c:crossBetween val="between"/>
        <c:dispUnits/>
        <c:majorUnit val="300000"/>
        <c:minorUnit val="10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0825"/>
          <c:y val="0.0095"/>
          <c:w val="0.291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'glob.dotace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'glob.dotace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'glob.dotace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'glob.dotace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'glob.dotace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'glob.dotace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'glob.dotace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'glob.dotace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'glob.dotace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5113172"/>
        <c:axId val="47583093"/>
      </c:bar3D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113172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'glob.dotace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'glob.dotace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'glob.dotace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'glob.dotace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'glob.dotace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'glob.dotace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'glob.dotace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'glob.dotace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'glob.dotace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5594654"/>
        <c:axId val="29025295"/>
      </c:bar3D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594654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globální dotace za období 2008 - 2013  v tis. Kč</a:t>
            </a:r>
          </a:p>
        </c:rich>
      </c:tx>
      <c:layout>
        <c:manualLayout>
          <c:xMode val="factor"/>
          <c:yMode val="factor"/>
          <c:x val="-0.251"/>
          <c:y val="-0.0022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2"/>
          <c:w val="0.983"/>
          <c:h val="0.856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'glob.dotace 2008-2013'!$A$4</c:f>
              <c:strCache>
                <c:ptCount val="1"/>
                <c:pt idx="0">
                  <c:v>CELKEM globální dotace</c:v>
                </c:pt>
              </c:strCache>
            </c:strRef>
          </c:tx>
          <c:spPr>
            <a:pattFill prst="pct5">
              <a:fgClr>
                <a:srgbClr val="FFFF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'glob.dotace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'glob.dotace 2008-2013'!$B$3:$G$3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59901064"/>
        <c:axId val="2238665"/>
      </c:bar3D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38665"/>
        <c:crossesAt val="60000"/>
        <c:auto val="1"/>
        <c:lblOffset val="100"/>
        <c:tickLblSkip val="1"/>
        <c:noMultiLvlLbl val="0"/>
      </c:catAx>
      <c:valAx>
        <c:axId val="2238665"/>
        <c:scaling>
          <c:orientation val="minMax"/>
          <c:max val="130000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4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901064"/>
        <c:crossesAt val="1"/>
        <c:crossBetween val="between"/>
        <c:dispUnits/>
        <c:majorUnit val="10000"/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85"/>
          <c:y val="0.007"/>
          <c:w val="0.479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Vývoj globální dotace za období 2007 - 2011  v tis. Kč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'glob.dotace 2008-2013'!$A$4</c:f>
              <c:strCache>
                <c:ptCount val="1"/>
                <c:pt idx="0">
                  <c:v>CELKEM globální dotace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'glob.dotace 2008-2013'!$B$1:$E$1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'glob.dotace 2008-2013'!$B$4:$E$4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'provoz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'provoz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'provoz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'provoz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'provoz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'provoz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1374140"/>
        <c:axId val="58149533"/>
      </c:bar3D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374140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'provoz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'provoz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'provoz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'provoz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'provoz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'provoz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3583750"/>
        <c:axId val="12491703"/>
      </c:bar3D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583750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provozních nákladů za období 2008 - 2013  v tis. Kč
 bez soc. transferů</a:t>
            </a:r>
          </a:p>
        </c:rich>
      </c:tx>
      <c:layout>
        <c:manualLayout>
          <c:xMode val="factor"/>
          <c:yMode val="factor"/>
          <c:x val="-0.25625"/>
          <c:y val="-0.0065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4"/>
          <c:w val="0.9825"/>
          <c:h val="0.86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'provoz SMOl 2008-2013'!$A$3</c:f>
              <c:strCache>
                <c:ptCount val="1"/>
                <c:pt idx="0">
                  <c:v>CELKEM  provozní náklady SMOl</c:v>
                </c:pt>
              </c:strCache>
            </c:strRef>
          </c:tx>
          <c:spPr>
            <a:pattFill prst="pct5">
              <a:fgClr>
                <a:srgbClr val="FFFF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'provoz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'provoz SMOl 2008-2013'!$B$3:$G$3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45316464"/>
        <c:axId val="5194993"/>
      </c:bar3D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  <c:max val="1800000"/>
          <c:min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0.01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316464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5"/>
          <c:y val="0.0065"/>
          <c:w val="0.49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'mzdy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'mzdy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'mzdy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'mzdy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'mzdy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'mzdy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'mzdy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'mzdy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'mzdy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6754938"/>
        <c:axId val="18141259"/>
      </c:bar3D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141259"/>
        <c:crosses val="autoZero"/>
        <c:auto val="1"/>
        <c:lblOffset val="100"/>
        <c:tickLblSkip val="1"/>
        <c:noMultiLvlLbl val="0"/>
      </c:catAx>
      <c:valAx>
        <c:axId val="18141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754938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'mzdy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'mzdy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'mzdy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'mzdy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'mzdy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'mzdy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'mzdy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'mzdy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'mzdy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9053604"/>
        <c:axId val="60155845"/>
      </c:bar3D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053604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'příjmy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'příjmy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'příjmy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'příjmy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'příjmy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'příjmy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'příjmy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221338"/>
        <c:axId val="10992043"/>
      </c:bar3D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21338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mzdových nákladů za období 2008 - 2013  v tis. Kč</a:t>
            </a:r>
          </a:p>
        </c:rich>
      </c:tx>
      <c:layout>
        <c:manualLayout>
          <c:xMode val="factor"/>
          <c:yMode val="factor"/>
          <c:x val="-0.26125"/>
          <c:y val="-0.00675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85"/>
          <c:w val="0.983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'mzdy 2008-2013'!$A$3</c:f>
              <c:strCache>
                <c:ptCount val="1"/>
                <c:pt idx="0">
                  <c:v>celkem mzdy MMOl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'mzdy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'mzdy 2008-2013'!$B$3:$G$3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'mzdy 2008-2013'!$A$4</c:f>
              <c:strCache>
                <c:ptCount val="1"/>
                <c:pt idx="0">
                  <c:v>celkem mzdy Městská policie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'mzdy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'mzdy 2008-2013'!$B$4:$G$4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'mzdy 2008-2013'!$A$5</c:f>
              <c:strCache>
                <c:ptCount val="1"/>
                <c:pt idx="0">
                  <c:v>CELKEM MZDY</c:v>
                </c:pt>
              </c:strCache>
            </c:strRef>
          </c:tx>
          <c:spPr>
            <a:pattFill prst="pct5">
              <a:fgClr>
                <a:srgbClr val="FFFF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'mzdy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'mzdy 2008-2013'!$B$5:$G$5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4531694"/>
        <c:axId val="40785247"/>
      </c:bar3D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31694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5"/>
          <c:y val="0.009"/>
          <c:w val="0.483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'OVS 2008-2013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'OVS 2008-2013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'OVS 2008-2013 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'OVS 2008-2013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'OVS 2008-2013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'OVS 2008-2013 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'OVS 2008-2013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'OVS 2008-2013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'OVS 2008-2013 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1522904"/>
        <c:axId val="15270681"/>
      </c:bar3D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522904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'OVS 2008-2013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'OVS 2008-2013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'OVS 2008-2013 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'OVS 2008-2013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'OVS 2008-2013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'OVS 2008-2013 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'OVS 2008-2013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'OVS 2008-2013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'OVS 2008-2013 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218402"/>
        <c:axId val="28965619"/>
      </c:bar3D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18402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objednávek veřejných služeb za období 2008 - 2013 v tis. Kč</a:t>
            </a:r>
          </a:p>
        </c:rich>
      </c:tx>
      <c:layout>
        <c:manualLayout>
          <c:xMode val="factor"/>
          <c:yMode val="factor"/>
          <c:x val="-0.262"/>
          <c:y val="-0.009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27"/>
          <c:w val="0.859"/>
          <c:h val="0.8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'OVS 2008-2013 '!$A$3</c:f>
              <c:strCache>
                <c:ptCount val="1"/>
                <c:pt idx="0">
                  <c:v>Technické služby města Olomouce, a.s.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'OVS 2008-2013 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'OVS 2008-2013 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'OVS 2008-2013 '!$A$4</c:f>
              <c:strCache>
                <c:ptCount val="1"/>
                <c:pt idx="0">
                  <c:v>Dopravní obslužnost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'OVS 2008-2013 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'OVS 2008-2013 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'OVS 2008-2013 '!$A$8</c:f>
              <c:strCache>
                <c:ptCount val="1"/>
                <c:pt idx="0">
                  <c:v>Výstaviště FLORA, a.s.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'OVS 2008-2013 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'OVS 2008-2013 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'OVS 2008-2013 '!$A$9</c:f>
              <c:strCache>
                <c:ptCount val="1"/>
                <c:pt idx="0">
                  <c:v>Správa nemovitostí Olomouc, a.s.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'OVS 2008-2013 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'OVS 2008-2013 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'OVS 2008-2013 '!$A$10</c:f>
              <c:strCache>
                <c:ptCount val="1"/>
                <c:pt idx="0">
                  <c:v>CELKEM OBJEDNÁVKY VEŘEJNÝCH SLUŽEB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'OVS 2008-2013 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'OVS 2008-2013 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59363980"/>
        <c:axId val="64513773"/>
      </c:bar3D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69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  <c:max val="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10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363980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0705"/>
          <c:w val="0.16475"/>
          <c:h val="0.7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Vývoj objednávek veřejných služeb za období 2007 - 2011  v tis. Kč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'OVS 2008-2013 '!$A$3</c:f>
              <c:strCache>
                <c:ptCount val="1"/>
                <c:pt idx="0">
                  <c:v>Technické služby města Olomouce, a.s.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'OVS 2008-2013 '!$B$1:$E$1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'OVS 2008-2013 '!$B$3:$E$3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'OVS 2008-2013 '!$A$4</c:f>
              <c:strCache>
                <c:ptCount val="1"/>
                <c:pt idx="0">
                  <c:v>Dopravní obslužnost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'OVS 2008-2013 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'OVS 2008-2013 '!$A$8</c:f>
              <c:strCache>
                <c:ptCount val="1"/>
                <c:pt idx="0">
                  <c:v>Výstaviště FLORA, a.s.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'OVS 2008-2013 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'OVS 2008-2013 '!$A$9</c:f>
              <c:strCache>
                <c:ptCount val="1"/>
                <c:pt idx="0">
                  <c:v>Správa nemovitostí Olomouc, a.s.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'OVS 2008-2013 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753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'transf.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'transf.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'transf.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'transf.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'transf.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'transf.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'transf.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'transf.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'transf.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4335808"/>
        <c:axId val="19260225"/>
      </c:bar3D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335808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'transf.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'transf.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'transf.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'transf.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'transf.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'transf.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'transf.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'transf.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'transf.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9124298"/>
        <c:axId val="16574363"/>
      </c:bar3D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124298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neinvestičních výdajů v oblasti transferů a grantů za období 2008 - 2013  v tis. Kč</a:t>
            </a:r>
          </a:p>
        </c:rich>
      </c:tx>
      <c:layout>
        <c:manualLayout>
          <c:xMode val="factor"/>
          <c:yMode val="factor"/>
          <c:x val="-0.19525"/>
          <c:y val="-0.019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55"/>
          <c:w val="0.98225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'transf. SMOl 2008-2013'!$A$3</c:f>
              <c:strCache>
                <c:ptCount val="1"/>
                <c:pt idx="0">
                  <c:v>Oblast sportu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'transf.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'transf. SMOl 2008-2013'!$B$3:$G$3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'transf. SMOl 2008-2013'!$A$4</c:f>
              <c:strCache>
                <c:ptCount val="1"/>
                <c:pt idx="0">
                  <c:v>Oblast kultury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'transf.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'transf. SMOl 2008-2013'!$B$4:$G$4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'transf. SMOl 2008-2013'!$A$5</c:f>
              <c:strCache>
                <c:ptCount val="1"/>
                <c:pt idx="0">
                  <c:v>Oblast sociální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'transf.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'transf. SMOl 2008-2013'!$B$5:$G$5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'transf. SMOl 2008-2013'!$A$6</c:f>
              <c:strCache>
                <c:ptCount val="1"/>
                <c:pt idx="0">
                  <c:v>Ostatní oblasti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'transf. SMOl 2008-2013'!$B$6:$G$6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'transf. SMOl 2008-2013'!$A$7</c:f>
              <c:strCache>
                <c:ptCount val="1"/>
                <c:pt idx="0">
                  <c:v>Celkem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'transf. SMOl 2008-2013'!$B$7:$G$7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14951540"/>
        <c:axId val="346133"/>
      </c:bar3D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  <c:max val="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951540"/>
        <c:crossesAt val="1"/>
        <c:crossBetween val="between"/>
        <c:dispUnits/>
        <c:majorUnit val="10000"/>
        <c:minorUnit val="1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065"/>
          <c:y val="0.02125"/>
          <c:w val="0.389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'provoz.přísp.sp..2008-2013'!#REF!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'provoz.přísp.sp..2008-2013'!#REF!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'provoz.přísp.sp..2008-2013'!#REF!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'provoz.přísp.sp..2008-2013'!#REF!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'provoz.přísp.sp..2008-2013'!#REF!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'provoz.přísp.sp..2008-2013'!#REF!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'provoz.přísp.sp..2008-2013'!#REF!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'provoz.přísp.sp..2008-2013'!#REF!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'provoz.přísp.sp..2008-2013'!#REF!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115198"/>
        <c:axId val="28036783"/>
      </c:bar3D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15198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'provoz.přísp.sp..2008-2013'!#REF!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'provoz.přísp.sp..2008-2013'!#REF!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'provoz.přísp.sp..2008-2013'!#REF!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'provoz.přísp.sp..2008-2013'!#REF!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'provoz.přísp.sp..2008-2013'!#REF!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'provoz.přísp.sp..2008-2013'!#REF!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'provoz.přísp.sp..2008-2013'!#REF!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'provoz.přísp.sp..2008-2013'!#REF!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'provoz.přísp.sp..2008-2013'!#REF!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1004456"/>
        <c:axId val="56386921"/>
      </c:bar3D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004456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příjmů vč. HČ za období 2008 - 2013  v tis. Kč</a:t>
            </a:r>
          </a:p>
        </c:rich>
      </c:tx>
      <c:layout>
        <c:manualLayout>
          <c:xMode val="factor"/>
          <c:yMode val="factor"/>
          <c:x val="-0.22125"/>
          <c:y val="-0.00275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4425"/>
          <c:w val="0.97925"/>
          <c:h val="0.8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'příjmy SMOl 2008-2013'!$A$3</c:f>
              <c:strCache>
                <c:ptCount val="1"/>
                <c:pt idx="0">
                  <c:v>Tř. 1 - daňové příjmy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'příjmy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'příjmy SMOl 2008-2013'!$B$3:$G$3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'příjmy SMOl 2008-2013'!$A$4</c:f>
              <c:strCache>
                <c:ptCount val="1"/>
                <c:pt idx="0">
                  <c:v>Tř. 2 - 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'příjmy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'příjmy SMOl 2008-2013'!$B$4:$G$4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'příjmy SMOl 2008-2013'!$A$5</c:f>
              <c:strCache>
                <c:ptCount val="1"/>
                <c:pt idx="0">
                  <c:v>Tř. 3 - 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'příjmy SMOl 2008-2013'!$B$5:$G$5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'příjmy SMOl 2008-2013'!$A$6</c:f>
              <c:strCache>
                <c:ptCount val="1"/>
                <c:pt idx="0">
                  <c:v>Tř. 4 - přijaté transfery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'příjmy SMOl 2008-2013'!$B$6:$G$6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'příjmy SMOl 2008-2013'!$A$7</c:f>
              <c:strCache>
                <c:ptCount val="1"/>
                <c:pt idx="0">
                  <c:v>CELKEM příjmy vč. hospod. činnosti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'příjmy SMOl 2008-2013'!$B$7:$G$7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31819524"/>
        <c:axId val="17940261"/>
      </c:bar3D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  <c:max val="3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54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819524"/>
        <c:crossesAt val="1"/>
        <c:crossBetween val="between"/>
        <c:dispUnits/>
        <c:majorUnit val="1000000"/>
        <c:minorUnit val="1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95"/>
          <c:y val="0.014"/>
          <c:w val="0.457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provozních příspěvků dle subjektů za období 2008 - 2013 v tis. Kč</a:t>
            </a:r>
          </a:p>
        </c:rich>
      </c:tx>
      <c:layout>
        <c:manualLayout>
          <c:xMode val="factor"/>
          <c:yMode val="factor"/>
          <c:x val="-0.19125"/>
          <c:y val="-0.022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425"/>
          <c:w val="0.989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'provoz.přísp.sp..2008-2013'!$A$3</c:f>
              <c:strCache>
                <c:ptCount val="1"/>
                <c:pt idx="0">
                  <c:v>Olterm&amp;TD Olomouc, a.s. - provoz plaveckého stadionu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'provoz.přísp.sp..2008-2013'!$B$1:$G$1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'provoz.přísp.sp..2008-2013'!$B$3:$G$3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'provoz.přísp.sp..2008-2013'!$A$4</c:f>
              <c:strCache>
                <c:ptCount val="1"/>
                <c:pt idx="0">
                  <c:v>Zimní stadion - provoz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'provoz.přísp.sp..2008-2013'!$B$1:$G$1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'provoz.přísp.sp..2008-2013'!$B$4:$G$4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'provoz.přísp.sp..2008-2013'!$A$5</c:f>
              <c:strCache>
                <c:ptCount val="1"/>
                <c:pt idx="0">
                  <c:v>Aquapark, a.s.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'provoz.přísp.sp..2008-2013'!$B$1:$G$1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'provoz.přísp.sp..2008-2013'!$B$5:$G$5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'provoz.přísp.sp..2008-2013'!$A$6</c:f>
              <c:strCache>
                <c:ptCount val="1"/>
                <c:pt idx="0">
                  <c:v>CELKEM provozní příspěvky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'provoz.přísp.sp..2008-2013'!$B$1:$G$1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'provoz.přísp.sp..2008-2013'!$B$6:$G$6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37720242"/>
        <c:axId val="3937859"/>
      </c:bar3D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83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20242"/>
        <c:crossesAt val="1"/>
        <c:crossBetween val="between"/>
        <c:dispUnits/>
        <c:majorUnit val="20000"/>
        <c:minorUnit val="1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83"/>
          <c:y val="0"/>
          <c:w val="0.417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'investice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'investice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'investice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'investice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'investice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'investice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'investice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'investice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'investice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5440732"/>
        <c:axId val="50531133"/>
      </c:bar3D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440732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'investice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'investice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'investice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'investice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'investice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'investice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'investice SMOl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'investice SMOl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'investice SMOl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2127014"/>
        <c:axId val="66489943"/>
      </c:bar3D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127014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kapitálových výdajů za období 2008 - 2013  v tis. Kč</a:t>
            </a:r>
          </a:p>
        </c:rich>
      </c:tx>
      <c:layout>
        <c:manualLayout>
          <c:xMode val="factor"/>
          <c:yMode val="factor"/>
          <c:x val="-0.2505"/>
          <c:y val="-0.0095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75"/>
          <c:w val="0.98175"/>
          <c:h val="0.849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'investice SMOl 2008-2013'!$A$3</c:f>
              <c:strCache>
                <c:ptCount val="1"/>
                <c:pt idx="0">
                  <c:v>Investice MMOl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'investice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'investice SMOl 2008-2013'!$B$3:$G$3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'investice SMOl 2008-2013'!$A$4</c:f>
              <c:strCache>
                <c:ptCount val="1"/>
                <c:pt idx="0">
                  <c:v>Investice SNO, a. s. z nájemného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'investice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'investice SMOl 2008-2013'!$B$4:$G$4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'investice SMOl 2008-2013'!$A$5</c:f>
              <c:strCache>
                <c:ptCount val="1"/>
                <c:pt idx="0">
                  <c:v>Investice MOVO, a. s. z nájemného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'investice SMOl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'investice SMOl 2008-2013'!$B$5:$G$5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overlap val="100"/>
        <c:shape val="cylinder"/>
        <c:axId val="61538576"/>
        <c:axId val="16976273"/>
      </c:bar3DChart>
      <c:cat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9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  <c:max val="12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3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538576"/>
        <c:crossesAt val="1"/>
        <c:crossBetween val="between"/>
        <c:dispUnits/>
        <c:majorUnit val="250000"/>
        <c:minorUnit val="2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"/>
          <c:y val="0.014"/>
          <c:w val="0.194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8568730"/>
        <c:axId val="32900843"/>
      </c:bar3D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568730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7672132"/>
        <c:axId val="47722597"/>
      </c:bar3D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672132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Zdroje financování kapitálových výdajů za období 2008 - 2013  v tis. Kč</a:t>
            </a:r>
          </a:p>
        </c:rich>
      </c:tx>
      <c:layout>
        <c:manualLayout>
          <c:xMode val="factor"/>
          <c:yMode val="factor"/>
          <c:x val="-0.2205"/>
          <c:y val="-0.0095"/>
        </c:manualLayout>
      </c:layout>
      <c:spPr>
        <a:noFill/>
        <a:ln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38"/>
          <c:y val="0.109"/>
          <c:w val="0.95325"/>
          <c:h val="0.80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'FINANCOVÁNÍ INVESTIC'!$A$3</c:f>
              <c:strCache>
                <c:ptCount val="1"/>
                <c:pt idx="0">
                  <c:v>Investiční úvěr nárůst financování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'FINANCOVÁNÍ INVESTIC'!$B$1:$G$1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'FINANCOVÁNÍ INVESTIC'!$B$3:$G$3</c:f>
              <c:numCache>
                <c:ptCount val="6"/>
                <c:pt idx="0">
                  <c:v>53012</c:v>
                </c:pt>
                <c:pt idx="1">
                  <c:v>514299</c:v>
                </c:pt>
                <c:pt idx="2">
                  <c:v>128078</c:v>
                </c:pt>
                <c:pt idx="3">
                  <c:v>191555</c:v>
                </c:pt>
                <c:pt idx="4">
                  <c:v>210737</c:v>
                </c:pt>
                <c:pt idx="5">
                  <c:v>214151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'FINANCOVÁNÍ INVESTIC'!$A$4</c:f>
              <c:strCache>
                <c:ptCount val="1"/>
                <c:pt idx="0">
                  <c:v>Investiční dotace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'FINANCOVÁNÍ INVESTIC'!$B$1:$G$1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'FINANCOVÁNÍ INVESTIC'!$B$4:$G$4</c:f>
              <c:numCache>
                <c:ptCount val="6"/>
                <c:pt idx="0">
                  <c:v>273947</c:v>
                </c:pt>
                <c:pt idx="1">
                  <c:v>45588</c:v>
                </c:pt>
                <c:pt idx="2">
                  <c:v>128655</c:v>
                </c:pt>
                <c:pt idx="3">
                  <c:v>76986</c:v>
                </c:pt>
                <c:pt idx="4">
                  <c:v>305661</c:v>
                </c:pt>
                <c:pt idx="5">
                  <c:v>187115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'FINANCOVÁNÍ INVESTIC'!$A$5</c:f>
              <c:strCache>
                <c:ptCount val="1"/>
                <c:pt idx="0">
                  <c:v>vlastní zdroje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'FINANCOVÁNÍ INVESTIC'!$B$1:$G$1</c:f>
              <c:num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'FINANCOVÁNÍ INVESTIC'!$B$5:$G$5</c:f>
              <c:numCache>
                <c:ptCount val="6"/>
                <c:pt idx="0">
                  <c:v>634883</c:v>
                </c:pt>
                <c:pt idx="1">
                  <c:v>93804</c:v>
                </c:pt>
                <c:pt idx="2">
                  <c:v>216377</c:v>
                </c:pt>
                <c:pt idx="3">
                  <c:v>212234</c:v>
                </c:pt>
                <c:pt idx="4">
                  <c:v>197889</c:v>
                </c:pt>
                <c:pt idx="5">
                  <c:v>281125</c:v>
                </c:pt>
              </c:numCache>
            </c:numRef>
          </c:val>
          <c:shape val="cylinder"/>
        </c:ser>
        <c:overlap val="100"/>
        <c:shape val="cylinder"/>
        <c:axId val="26850190"/>
        <c:axId val="40325119"/>
      </c:bar3DChart>
      <c:catAx>
        <c:axId val="2685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55"/>
              <c:y val="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25119"/>
        <c:crosses val="autoZero"/>
        <c:auto val="1"/>
        <c:lblOffset val="100"/>
        <c:tickLblSkip val="1"/>
        <c:noMultiLvlLbl val="0"/>
      </c:catAx>
      <c:valAx>
        <c:axId val="403251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8675"/>
              <c:y val="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850190"/>
        <c:crossesAt val="1"/>
        <c:crossBetween val="between"/>
        <c:dispUnits/>
        <c:majorUnit val="250000"/>
        <c:minorUnit val="2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25"/>
          <c:y val="0.02125"/>
          <c:w val="0.3322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Vývoj nákladů k monitoringu hospodaření v tis. Kč </a:t>
            </a:r>
          </a:p>
        </c:rich>
      </c:tx>
      <c:layout>
        <c:manualLayout>
          <c:xMode val="factor"/>
          <c:yMode val="factor"/>
          <c:x val="-0.231"/>
          <c:y val="0.01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2025"/>
          <c:w val="0.98325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'Zadluženost k 31.12.2013'!$R$1:$AD$1</c:f>
              <c:strCache/>
            </c:strRef>
          </c:cat>
          <c:val>
            <c:numRef>
              <c:f>'Zadluženost k 31.12.2013'!$R$28:$AD$28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'Zadluženost k 31.12.2013'!$R$1:$AD$1</c:f>
              <c:strCache/>
            </c:strRef>
          </c:cat>
          <c:val>
            <c:numRef>
              <c:f>'Zadluženost k 31.12.2013'!$R$29:$AD$29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cylinder"/>
        </c:ser>
        <c:shape val="cylinder"/>
        <c:axId val="27381752"/>
        <c:axId val="45109177"/>
      </c:bar3D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38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715"/>
          <c:y val="0.05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FFFF99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CC99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'příjmy SMOl 2008-2013'!$A$3</c:f>
              <c:strCache>
                <c:ptCount val="1"/>
                <c:pt idx="0">
                  <c:v>Tř. 1 - daňové příjmy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'příjmy SMOl 2008-2013'!$B$1:$E$1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'příjmy SMOl 2008-2013'!$B$3:$E$3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'příjmy SMOl 2008-2013'!$A$4</c:f>
              <c:strCache>
                <c:ptCount val="1"/>
                <c:pt idx="0">
                  <c:v>Tř. 2 - nedaňové příjmy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'příjmy SMOl 2008-2013'!$B$4:$E$4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'příjmy SMOl 2008-2013'!$A$5</c:f>
              <c:strCache>
                <c:ptCount val="1"/>
                <c:pt idx="0">
                  <c:v>Tř. 3 - kapitálové příjmy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'příjmy SMOl 2008-2013'!$B$5:$E$5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'příjmy SMOl 2008-2013'!$A$6</c:f>
              <c:strCache>
                <c:ptCount val="1"/>
                <c:pt idx="0">
                  <c:v>Tř. 4 - přijaté transfery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'příjmy SMOl 2008-2013'!$B$6:$E$6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'příjmy SMOl 2008-2013'!$A$7</c:f>
              <c:strCache>
                <c:ptCount val="1"/>
                <c:pt idx="0">
                  <c:v>CELKEM příjmy vč. hospod. činnosti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'příjmy SMOl 2008-2013'!$B$7:$E$7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44622"/>
        <c:crossesAt val="1"/>
        <c:crossBetween val="between"/>
        <c:dispUnits/>
        <c:minorUnit val="5703.875099999999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'daně bez 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'daně bez 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'daně bez 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'daně bez 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'daně bez 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'daně bez 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'daně bez 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'daně bez 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'daně bez 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9330744"/>
        <c:axId val="64214649"/>
      </c:bar3D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330744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'daně bez 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'daně bez 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'daně bez 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'daně bez 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'daně bez 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'daně bez 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'daně bez 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'daně bez 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'daně bez 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1060930"/>
        <c:axId val="34004051"/>
      </c:bar3D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060930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daní za období 2008 - 2013 v tis. Kč</a:t>
            </a:r>
          </a:p>
        </c:rich>
      </c:tx>
      <c:layout>
        <c:manualLayout>
          <c:xMode val="factor"/>
          <c:yMode val="factor"/>
          <c:x val="-0.247"/>
          <c:y val="-0.0022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24"/>
          <c:w val="0.7277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'daně bez HČ 2008-2013'!$A$3</c:f>
              <c:strCache>
                <c:ptCount val="1"/>
                <c:pt idx="0">
                  <c:v>Daň z příjmů fyzických osob ze závislé činnosti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'daně bez HČ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'daně bez HČ 2008-2013'!$B$3:$G$3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'daně bez HČ 2008-2013'!$A$4</c:f>
              <c:strCache>
                <c:ptCount val="1"/>
                <c:pt idx="0">
                  <c:v>Daň z příjmů fyzických osob ze samostatné výdělečné činnosti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'daně bez HČ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'daně bez HČ 2008-2013'!$B$4:$G$4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'daně bez HČ 2008-2013'!$A$5</c:f>
              <c:strCache>
                <c:ptCount val="1"/>
                <c:pt idx="0">
                  <c:v>Daň z příjmů fyzických osob z kapitálových výnosů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'daně bez HČ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'daně bez HČ 2008-2013'!$B$5:$G$5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3"/>
          <c:tx>
            <c:strRef>
              <c:f>'daně bez HČ 2008-2013'!$A$6</c:f>
              <c:strCache>
                <c:ptCount val="1"/>
                <c:pt idx="0">
                  <c:v>Daň z příjmů právnických osob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'daně bez HČ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'daně bez HČ 2008-2013'!$B$6:$G$6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4"/>
          <c:tx>
            <c:strRef>
              <c:f>'daně bez HČ 2008-2013'!$A$7</c:f>
              <c:strCache>
                <c:ptCount val="1"/>
                <c:pt idx="0">
                  <c:v>Daň z přidané hodnoty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'daně bez HČ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'daně bez HČ 2008-2013'!$B$7:$G$7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5"/>
          <c:tx>
            <c:strRef>
              <c:f>'daně bez HČ 2008-2013'!$A$8</c:f>
              <c:strCache>
                <c:ptCount val="1"/>
                <c:pt idx="0">
                  <c:v>Daň z nemovitostí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'daně bez HČ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'daně bez HČ 2008-2013'!$B$8:$G$8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6"/>
          <c:tx>
            <c:strRef>
              <c:f>'daně bez HČ 2008-2013'!$A$9</c:f>
              <c:strCache>
                <c:ptCount val="1"/>
                <c:pt idx="0">
                  <c:v>CELKEM daně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'daně bez HČ 2008-2013'!$B$1:$G$1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'daně bez HČ 2008-2013'!$B$9:$G$9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hape val="cylinder"/>
        <c:axId val="37601004"/>
        <c:axId val="2864717"/>
      </c:bar3D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  <c:max val="1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601004"/>
        <c:crossesAt val="1"/>
        <c:crossBetween val="between"/>
        <c:dispUnits/>
        <c:majorUnit val="100000"/>
        <c:min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18125"/>
          <c:w val="0.25075"/>
          <c:h val="0.7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5782454"/>
        <c:axId val="30715495"/>
      </c:bar3D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782454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'HČ 2008-2013'!#REF!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'HČ 2008-2013'!#REF!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'HČ 2008-2013'!#REF!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004000"/>
        <c:axId val="4927137"/>
      </c:bar3D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004000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</cdr:y>
    </cdr:from>
    <cdr:to>
      <cdr:x>0.47725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0"/>
          <a:ext cx="2752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25" b="1" i="0" u="none" baseline="0">
              <a:solidFill>
                <a:srgbClr val="000000"/>
              </a:solidFill>
            </a:rPr>
            <a:t>Vývoj příjmů vč. HČ za období 2007 - 2011  v tis. Kč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19050" y="1914525"/>
        <a:ext cx="7267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19050" y="1914525"/>
        <a:ext cx="7267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19050</xdr:rowOff>
    </xdr:from>
    <xdr:to>
      <xdr:col>6</xdr:col>
      <xdr:colOff>1381125</xdr:colOff>
      <xdr:row>29</xdr:row>
      <xdr:rowOff>9525</xdr:rowOff>
    </xdr:to>
    <xdr:graphicFrame>
      <xdr:nvGraphicFramePr>
        <xdr:cNvPr id="3" name="Chart 48"/>
        <xdr:cNvGraphicFramePr/>
      </xdr:nvGraphicFramePr>
      <xdr:xfrm>
        <a:off x="0" y="2095500"/>
        <a:ext cx="99441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19050" y="1971675"/>
        <a:ext cx="903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19050" y="1971675"/>
        <a:ext cx="903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1485900</xdr:colOff>
      <xdr:row>34</xdr:row>
      <xdr:rowOff>85725</xdr:rowOff>
    </xdr:to>
    <xdr:graphicFrame>
      <xdr:nvGraphicFramePr>
        <xdr:cNvPr id="3" name="Chart 3"/>
        <xdr:cNvGraphicFramePr/>
      </xdr:nvGraphicFramePr>
      <xdr:xfrm>
        <a:off x="0" y="2457450"/>
        <a:ext cx="120491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19050" y="2028825"/>
        <a:ext cx="9591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19050" y="2028825"/>
        <a:ext cx="959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1362075</xdr:colOff>
      <xdr:row>34</xdr:row>
      <xdr:rowOff>85725</xdr:rowOff>
    </xdr:to>
    <xdr:graphicFrame>
      <xdr:nvGraphicFramePr>
        <xdr:cNvPr id="3" name="Chart 3"/>
        <xdr:cNvGraphicFramePr/>
      </xdr:nvGraphicFramePr>
      <xdr:xfrm>
        <a:off x="0" y="2514600"/>
        <a:ext cx="127825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30</xdr:col>
      <xdr:colOff>438150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0" y="4429125"/>
        <a:ext cx="132302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19050" y="2343150"/>
        <a:ext cx="806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19050" y="2343150"/>
        <a:ext cx="806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31</xdr:row>
      <xdr:rowOff>76200</xdr:rowOff>
    </xdr:to>
    <xdr:graphicFrame>
      <xdr:nvGraphicFramePr>
        <xdr:cNvPr id="3" name="Chart 3"/>
        <xdr:cNvGraphicFramePr/>
      </xdr:nvGraphicFramePr>
      <xdr:xfrm>
        <a:off x="0" y="2828925"/>
        <a:ext cx="105822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51</xdr:row>
      <xdr:rowOff>0</xdr:rowOff>
    </xdr:from>
    <xdr:to>
      <xdr:col>4</xdr:col>
      <xdr:colOff>1304925</xdr:colOff>
      <xdr:row>51</xdr:row>
      <xdr:rowOff>0</xdr:rowOff>
    </xdr:to>
    <xdr:graphicFrame>
      <xdr:nvGraphicFramePr>
        <xdr:cNvPr id="4" name="Chart 4"/>
        <xdr:cNvGraphicFramePr/>
      </xdr:nvGraphicFramePr>
      <xdr:xfrm>
        <a:off x="19050" y="9467850"/>
        <a:ext cx="8067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19050" y="2933700"/>
        <a:ext cx="9420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19050" y="2933700"/>
        <a:ext cx="9420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7</xdr:col>
      <xdr:colOff>0</xdr:colOff>
      <xdr:row>35</xdr:row>
      <xdr:rowOff>85725</xdr:rowOff>
    </xdr:to>
    <xdr:graphicFrame>
      <xdr:nvGraphicFramePr>
        <xdr:cNvPr id="3" name="Chart 3"/>
        <xdr:cNvGraphicFramePr/>
      </xdr:nvGraphicFramePr>
      <xdr:xfrm>
        <a:off x="0" y="3095625"/>
        <a:ext cx="122491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5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9050" y="1362075"/>
        <a:ext cx="9420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5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9050" y="1362075"/>
        <a:ext cx="9420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6</xdr:col>
      <xdr:colOff>1323975</xdr:colOff>
      <xdr:row>32</xdr:row>
      <xdr:rowOff>85725</xdr:rowOff>
    </xdr:to>
    <xdr:graphicFrame>
      <xdr:nvGraphicFramePr>
        <xdr:cNvPr id="3" name="Chart 3"/>
        <xdr:cNvGraphicFramePr/>
      </xdr:nvGraphicFramePr>
      <xdr:xfrm>
        <a:off x="0" y="1847850"/>
        <a:ext cx="1215390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5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9050" y="1362075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5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9050" y="1362075"/>
        <a:ext cx="997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6</xdr:col>
      <xdr:colOff>1304925</xdr:colOff>
      <xdr:row>32</xdr:row>
      <xdr:rowOff>85725</xdr:rowOff>
    </xdr:to>
    <xdr:graphicFrame>
      <xdr:nvGraphicFramePr>
        <xdr:cNvPr id="3" name="Chart 3"/>
        <xdr:cNvGraphicFramePr/>
      </xdr:nvGraphicFramePr>
      <xdr:xfrm>
        <a:off x="0" y="1847850"/>
        <a:ext cx="129444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4</xdr:col>
      <xdr:colOff>1666875</xdr:colOff>
      <xdr:row>65</xdr:row>
      <xdr:rowOff>114300</xdr:rowOff>
    </xdr:to>
    <xdr:graphicFrame>
      <xdr:nvGraphicFramePr>
        <xdr:cNvPr id="4" name="Chart 4"/>
        <xdr:cNvGraphicFramePr/>
      </xdr:nvGraphicFramePr>
      <xdr:xfrm>
        <a:off x="0" y="6867525"/>
        <a:ext cx="9991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5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9050" y="914400"/>
        <a:ext cx="956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0</xdr:rowOff>
    </xdr:from>
    <xdr:to>
      <xdr:col>5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19050" y="914400"/>
        <a:ext cx="956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1333500</xdr:colOff>
      <xdr:row>32</xdr:row>
      <xdr:rowOff>28575</xdr:rowOff>
    </xdr:to>
    <xdr:graphicFrame>
      <xdr:nvGraphicFramePr>
        <xdr:cNvPr id="3" name="Chart 3"/>
        <xdr:cNvGraphicFramePr/>
      </xdr:nvGraphicFramePr>
      <xdr:xfrm>
        <a:off x="0" y="1238250"/>
        <a:ext cx="12592050" cy="440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5</xdr:col>
      <xdr:colOff>0</xdr:colOff>
      <xdr:row>5</xdr:row>
      <xdr:rowOff>0</xdr:rowOff>
    </xdr:to>
    <xdr:graphicFrame>
      <xdr:nvGraphicFramePr>
        <xdr:cNvPr id="1" name="Chart 2"/>
        <xdr:cNvGraphicFramePr/>
      </xdr:nvGraphicFramePr>
      <xdr:xfrm>
        <a:off x="19050" y="1543050"/>
        <a:ext cx="9591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</xdr:row>
      <xdr:rowOff>0</xdr:rowOff>
    </xdr:from>
    <xdr:to>
      <xdr:col>5</xdr:col>
      <xdr:colOff>0</xdr:colOff>
      <xdr:row>5</xdr:row>
      <xdr:rowOff>0</xdr:rowOff>
    </xdr:to>
    <xdr:graphicFrame>
      <xdr:nvGraphicFramePr>
        <xdr:cNvPr id="2" name="Chart 3"/>
        <xdr:cNvGraphicFramePr/>
      </xdr:nvGraphicFramePr>
      <xdr:xfrm>
        <a:off x="19050" y="1543050"/>
        <a:ext cx="959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6</xdr:col>
      <xdr:colOff>1533525</xdr:colOff>
      <xdr:row>34</xdr:row>
      <xdr:rowOff>85725</xdr:rowOff>
    </xdr:to>
    <xdr:graphicFrame>
      <xdr:nvGraphicFramePr>
        <xdr:cNvPr id="3" name="Chart 4"/>
        <xdr:cNvGraphicFramePr/>
      </xdr:nvGraphicFramePr>
      <xdr:xfrm>
        <a:off x="0" y="2028825"/>
        <a:ext cx="1280160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9050" y="3219450"/>
        <a:ext cx="951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</xdr:row>
      <xdr:rowOff>0</xdr:rowOff>
    </xdr:from>
    <xdr:to>
      <xdr:col>5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19050" y="3219450"/>
        <a:ext cx="951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6</xdr:col>
      <xdr:colOff>1571625</xdr:colOff>
      <xdr:row>36</xdr:row>
      <xdr:rowOff>85725</xdr:rowOff>
    </xdr:to>
    <xdr:graphicFrame>
      <xdr:nvGraphicFramePr>
        <xdr:cNvPr id="3" name="Chart 3"/>
        <xdr:cNvGraphicFramePr/>
      </xdr:nvGraphicFramePr>
      <xdr:xfrm>
        <a:off x="0" y="3381375"/>
        <a:ext cx="1272540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38</xdr:row>
      <xdr:rowOff>9525</xdr:rowOff>
    </xdr:from>
    <xdr:to>
      <xdr:col>4</xdr:col>
      <xdr:colOff>1552575</xdr:colOff>
      <xdr:row>64</xdr:row>
      <xdr:rowOff>95250</xdr:rowOff>
    </xdr:to>
    <xdr:graphicFrame>
      <xdr:nvGraphicFramePr>
        <xdr:cNvPr id="4" name="Chart 4"/>
        <xdr:cNvGraphicFramePr/>
      </xdr:nvGraphicFramePr>
      <xdr:xfrm>
        <a:off x="38100" y="7591425"/>
        <a:ext cx="9496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19050" y="2286000"/>
        <a:ext cx="927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19050" y="2286000"/>
        <a:ext cx="9277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142875</xdr:rowOff>
    </xdr:from>
    <xdr:to>
      <xdr:col>6</xdr:col>
      <xdr:colOff>1323975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0" y="2590800"/>
        <a:ext cx="122967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55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36.125" style="0" customWidth="1"/>
    <col min="2" max="2" width="18.00390625" style="0" customWidth="1"/>
    <col min="3" max="3" width="17.75390625" style="0" customWidth="1"/>
    <col min="4" max="5" width="17.125" style="0" customWidth="1"/>
    <col min="6" max="6" width="16.75390625" style="0" customWidth="1"/>
    <col min="7" max="7" width="16.00390625" style="0" customWidth="1"/>
  </cols>
  <sheetData>
    <row r="1" spans="1:7" ht="18" customHeight="1">
      <c r="A1" s="71" t="s">
        <v>17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 thickBot="1">
      <c r="A2" s="7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7" ht="29.25" customHeight="1" thickTop="1">
      <c r="A3" s="8" t="s">
        <v>24</v>
      </c>
      <c r="B3" s="9">
        <v>1419116</v>
      </c>
      <c r="C3" s="9">
        <v>1188616</v>
      </c>
      <c r="D3" s="9">
        <v>1337615</v>
      </c>
      <c r="E3" s="9">
        <v>1313545</v>
      </c>
      <c r="F3" s="9">
        <v>1318489</v>
      </c>
      <c r="G3" s="9">
        <v>1385496</v>
      </c>
    </row>
    <row r="4" spans="1:7" ht="29.25" customHeight="1">
      <c r="A4" s="8" t="s">
        <v>25</v>
      </c>
      <c r="B4" s="9">
        <v>78389</v>
      </c>
      <c r="C4" s="9">
        <v>92519</v>
      </c>
      <c r="D4" s="9">
        <v>66192</v>
      </c>
      <c r="E4" s="9">
        <v>76700</v>
      </c>
      <c r="F4" s="9">
        <v>74261</v>
      </c>
      <c r="G4" s="9">
        <v>68093</v>
      </c>
    </row>
    <row r="5" spans="1:7" ht="29.25" customHeight="1">
      <c r="A5" s="8" t="s">
        <v>26</v>
      </c>
      <c r="B5" s="9">
        <v>4275</v>
      </c>
      <c r="C5" s="9">
        <v>257</v>
      </c>
      <c r="D5" s="9">
        <v>0</v>
      </c>
      <c r="E5" s="9">
        <v>360</v>
      </c>
      <c r="F5" s="9">
        <v>39</v>
      </c>
      <c r="G5" s="9">
        <v>95</v>
      </c>
    </row>
    <row r="6" spans="1:7" ht="24.75" customHeight="1">
      <c r="A6" s="3" t="s">
        <v>27</v>
      </c>
      <c r="B6" s="10">
        <v>1214351</v>
      </c>
      <c r="C6" s="10">
        <v>744520</v>
      </c>
      <c r="D6" s="10">
        <v>864183</v>
      </c>
      <c r="E6" s="10">
        <v>808272</v>
      </c>
      <c r="F6" s="9">
        <v>815894</v>
      </c>
      <c r="G6" s="9">
        <v>712409</v>
      </c>
    </row>
    <row r="7" spans="1:7" ht="24.75" customHeight="1">
      <c r="A7" s="13" t="s">
        <v>28</v>
      </c>
      <c r="B7" s="14">
        <f aca="true" t="shared" si="0" ref="B7:G7">SUM(B3:B6)</f>
        <v>2716131</v>
      </c>
      <c r="C7" s="14">
        <f t="shared" si="0"/>
        <v>2025912</v>
      </c>
      <c r="D7" s="14">
        <f t="shared" si="0"/>
        <v>2267990</v>
      </c>
      <c r="E7" s="14">
        <f t="shared" si="0"/>
        <v>2198877</v>
      </c>
      <c r="F7" s="14">
        <f t="shared" si="0"/>
        <v>2208683</v>
      </c>
      <c r="G7" s="14">
        <f t="shared" si="0"/>
        <v>2166093</v>
      </c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</sheetData>
  <sheetProtection/>
  <mergeCells count="1">
    <mergeCell ref="A1:A2"/>
  </mergeCells>
  <printOptions/>
  <pageMargins left="0.97" right="0.1968503937007874" top="1.15" bottom="0.7874015748031497" header="0.66" footer="0.31496062992125984"/>
  <pageSetup horizontalDpi="600" verticalDpi="600" orientation="landscape" paperSize="9" scale="90" r:id="rId2"/>
  <headerFooter alignWithMargins="0">
    <oddHeader>&amp;LSTATUTÁRNÍ MĚSTO OLOMOUC&amp;C&amp;"Arial CE,Tučné"&amp;12VÝVOJ PŘÍJMŮ VČ. HOSPODÁŘSKÉ ČINNOSTI
 2008 - 2013&amp;R&amp;"Arial CE,Tučné"Část D&amp;"Arial CE,Obyčejné"
v tis. Kč</oddHeader>
    <oddFooter>&amp;C92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38.25390625" style="0" customWidth="1"/>
    <col min="2" max="2" width="19.875" style="0" customWidth="1"/>
    <col min="3" max="3" width="19.625" style="0" customWidth="1"/>
    <col min="4" max="4" width="21.00390625" style="0" customWidth="1"/>
    <col min="5" max="5" width="20.125" style="0" customWidth="1"/>
    <col min="6" max="6" width="19.75390625" style="0" customWidth="1"/>
    <col min="7" max="7" width="20.125" style="0" customWidth="1"/>
  </cols>
  <sheetData>
    <row r="1" spans="1:7" ht="18" customHeight="1">
      <c r="A1" s="71" t="s">
        <v>29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>
      <c r="A2" s="73"/>
      <c r="B2" s="15" t="s">
        <v>3</v>
      </c>
      <c r="C2" s="15" t="s">
        <v>3</v>
      </c>
      <c r="D2" s="15" t="s">
        <v>3</v>
      </c>
      <c r="E2" s="15" t="s">
        <v>3</v>
      </c>
      <c r="F2" s="11" t="s">
        <v>3</v>
      </c>
      <c r="G2" s="11" t="s">
        <v>3</v>
      </c>
    </row>
    <row r="3" spans="1:7" ht="29.25" customHeight="1">
      <c r="A3" s="16" t="s">
        <v>30</v>
      </c>
      <c r="B3" s="17">
        <f>825038+57174</f>
        <v>882212</v>
      </c>
      <c r="C3" s="17">
        <f>528673+42155+148+7620+21574+8651</f>
        <v>608821</v>
      </c>
      <c r="D3" s="17">
        <f>377352+11576+66045+6713+5877</f>
        <v>467563</v>
      </c>
      <c r="E3" s="17">
        <f>480775-E4-E5</f>
        <v>380368</v>
      </c>
      <c r="F3" s="19">
        <f>714287-F4-F5</f>
        <v>628589</v>
      </c>
      <c r="G3" s="19">
        <v>634797</v>
      </c>
    </row>
    <row r="4" spans="1:7" ht="29.25" customHeight="1">
      <c r="A4" s="16" t="s">
        <v>31</v>
      </c>
      <c r="B4" s="17">
        <v>9722</v>
      </c>
      <c r="C4" s="17">
        <v>21936</v>
      </c>
      <c r="D4" s="17">
        <v>0</v>
      </c>
      <c r="E4" s="17">
        <v>21074</v>
      </c>
      <c r="F4" s="17">
        <v>16079</v>
      </c>
      <c r="G4" s="17">
        <v>13478</v>
      </c>
    </row>
    <row r="5" spans="1:7" ht="24.75" customHeight="1">
      <c r="A5" s="20" t="s">
        <v>32</v>
      </c>
      <c r="B5" s="1">
        <v>69908</v>
      </c>
      <c r="C5" s="1">
        <v>22934</v>
      </c>
      <c r="D5" s="1">
        <v>5547</v>
      </c>
      <c r="E5" s="1">
        <v>79333</v>
      </c>
      <c r="F5" s="1">
        <v>69619</v>
      </c>
      <c r="G5" s="1">
        <v>34116</v>
      </c>
    </row>
    <row r="6" spans="1:7" ht="24.75" customHeight="1">
      <c r="A6" s="13" t="s">
        <v>33</v>
      </c>
      <c r="B6" s="14">
        <f aca="true" t="shared" si="0" ref="B6:G6">B3+B4+B5</f>
        <v>961842</v>
      </c>
      <c r="C6" s="14">
        <f t="shared" si="0"/>
        <v>653691</v>
      </c>
      <c r="D6" s="14">
        <f t="shared" si="0"/>
        <v>473110</v>
      </c>
      <c r="E6" s="14">
        <f t="shared" si="0"/>
        <v>480775</v>
      </c>
      <c r="F6" s="14">
        <f t="shared" si="0"/>
        <v>714287</v>
      </c>
      <c r="G6" s="14">
        <f t="shared" si="0"/>
        <v>682391</v>
      </c>
    </row>
    <row r="66" ht="12.75">
      <c r="A66" t="s">
        <v>47</v>
      </c>
    </row>
  </sheetData>
  <sheetProtection/>
  <mergeCells count="1">
    <mergeCell ref="A1:A2"/>
  </mergeCells>
  <printOptions/>
  <pageMargins left="0.66" right="0.1968503937007874" top="1.32" bottom="0.7874015748031497" header="0.66" footer="0.31496062992125984"/>
  <pageSetup horizontalDpi="600" verticalDpi="600" orientation="landscape" paperSize="9" scale="82" r:id="rId2"/>
  <headerFooter alignWithMargins="0">
    <oddHeader>&amp;LSTATUTÁRNÍ MĚSTO OLOMOUC&amp;C&amp;"Arial CE,Tučné"&amp;12VÝVOJ KAPITÁLOVÝCH VÝDAJŮ
     2008 - 2013   &amp;Rv tis. Kč</oddHeader>
    <oddFooter>&amp;C101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9.375" style="0" customWidth="1"/>
    <col min="2" max="2" width="21.75390625" style="0" customWidth="1"/>
    <col min="3" max="3" width="22.00390625" style="0" customWidth="1"/>
    <col min="4" max="4" width="21.75390625" style="0" customWidth="1"/>
    <col min="5" max="5" width="21.25390625" style="0" customWidth="1"/>
    <col min="6" max="6" width="23.75390625" style="0" customWidth="1"/>
    <col min="7" max="7" width="18.625" style="0" customWidth="1"/>
  </cols>
  <sheetData>
    <row r="1" spans="1:7" ht="18" customHeight="1">
      <c r="A1" s="71" t="s">
        <v>29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>
      <c r="A2" s="73"/>
      <c r="B2" s="15" t="s">
        <v>3</v>
      </c>
      <c r="C2" s="15" t="s">
        <v>3</v>
      </c>
      <c r="D2" s="15" t="s">
        <v>3</v>
      </c>
      <c r="E2" s="15" t="s">
        <v>3</v>
      </c>
      <c r="F2" s="15" t="s">
        <v>3</v>
      </c>
      <c r="G2" s="15" t="s">
        <v>3</v>
      </c>
    </row>
    <row r="3" spans="1:7" ht="29.25" customHeight="1">
      <c r="A3" s="16" t="s">
        <v>116</v>
      </c>
      <c r="B3" s="17">
        <v>53012</v>
      </c>
      <c r="C3" s="17">
        <v>514299</v>
      </c>
      <c r="D3" s="17">
        <v>128078</v>
      </c>
      <c r="E3" s="17">
        <v>191555</v>
      </c>
      <c r="F3" s="17">
        <v>210737</v>
      </c>
      <c r="G3" s="17">
        <v>214151</v>
      </c>
    </row>
    <row r="4" spans="1:7" ht="29.25" customHeight="1">
      <c r="A4" s="16" t="s">
        <v>48</v>
      </c>
      <c r="B4" s="17">
        <v>273947</v>
      </c>
      <c r="C4" s="17">
        <v>45588</v>
      </c>
      <c r="D4" s="17">
        <v>128655</v>
      </c>
      <c r="E4" s="17">
        <v>76986</v>
      </c>
      <c r="F4" s="17">
        <v>305661</v>
      </c>
      <c r="G4" s="17">
        <v>187115</v>
      </c>
    </row>
    <row r="5" spans="1:7" ht="29.25" customHeight="1">
      <c r="A5" s="16" t="s">
        <v>49</v>
      </c>
      <c r="B5" s="17">
        <f>B6-B4-B3</f>
        <v>634883</v>
      </c>
      <c r="C5" s="17">
        <f>C6-C4-C3</f>
        <v>93804</v>
      </c>
      <c r="D5" s="17">
        <f>D6-D4-D3</f>
        <v>216377</v>
      </c>
      <c r="E5" s="17">
        <f>E6-E4-E3</f>
        <v>212234</v>
      </c>
      <c r="F5" s="17">
        <f>F6-F3-F4</f>
        <v>197889</v>
      </c>
      <c r="G5" s="17">
        <f>G6-G3-G4</f>
        <v>281125</v>
      </c>
    </row>
    <row r="6" spans="1:7" ht="24.75" customHeight="1">
      <c r="A6" s="13" t="s">
        <v>33</v>
      </c>
      <c r="B6" s="14">
        <f>'investice SMOl 2008-2013'!B6</f>
        <v>961842</v>
      </c>
      <c r="C6" s="14">
        <f>'investice SMOl 2008-2013'!C6</f>
        <v>653691</v>
      </c>
      <c r="D6" s="14">
        <f>'investice SMOl 2008-2013'!D6</f>
        <v>473110</v>
      </c>
      <c r="E6" s="14">
        <f>'investice SMOl 2008-2013'!E6</f>
        <v>480775</v>
      </c>
      <c r="F6" s="14">
        <f>'investice SMOl 2008-2013'!F6</f>
        <v>714287</v>
      </c>
      <c r="G6" s="14">
        <f>'investice SMOl 2008-2013'!G6</f>
        <v>682391</v>
      </c>
    </row>
    <row r="66" ht="12.75">
      <c r="A66" t="s">
        <v>47</v>
      </c>
    </row>
  </sheetData>
  <sheetProtection/>
  <mergeCells count="1">
    <mergeCell ref="A1:A2"/>
  </mergeCells>
  <printOptions/>
  <pageMargins left="0.66" right="0.1968503937007874" top="1.51" bottom="0.7874015748031497" header="0.94" footer="0.31496062992125984"/>
  <pageSetup horizontalDpi="600" verticalDpi="600" orientation="landscape" paperSize="9" scale="82" r:id="rId2"/>
  <headerFooter alignWithMargins="0">
    <oddHeader>&amp;LSTATUTÁRNÍ MĚSTO OLOMOUC&amp;C&amp;"Arial CE,Tučné"&amp;12VÝVOJ KAPITÁLOVÝCH VÝDAJŮ
     2008 - 2013  &amp;Rv tis. Kč</oddHeader>
    <oddFooter>&amp;C102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workbookViewId="0" topLeftCell="A1">
      <selection activeCell="AK26" sqref="AK26"/>
    </sheetView>
  </sheetViews>
  <sheetFormatPr defaultColWidth="9.00390625" defaultRowHeight="12.75" outlineLevelCol="1"/>
  <cols>
    <col min="1" max="1" width="26.75390625" style="0" customWidth="1"/>
    <col min="2" max="2" width="8.375" style="0" customWidth="1"/>
    <col min="3" max="3" width="25.25390625" style="0" customWidth="1"/>
    <col min="4" max="4" width="12.625" style="0" hidden="1" customWidth="1"/>
    <col min="5" max="7" width="9.125" style="0" hidden="1" customWidth="1"/>
    <col min="8" max="8" width="10.125" style="0" hidden="1" customWidth="1"/>
    <col min="9" max="9" width="9.875" style="0" hidden="1" customWidth="1"/>
    <col min="10" max="11" width="6.625" style="0" hidden="1" customWidth="1"/>
    <col min="12" max="12" width="6.875" style="0" hidden="1" customWidth="1"/>
    <col min="13" max="13" width="7.625" style="0" hidden="1" customWidth="1"/>
    <col min="14" max="14" width="12.625" style="0" hidden="1" customWidth="1"/>
    <col min="15" max="15" width="9.875" style="0" customWidth="1" outlineLevel="1"/>
    <col min="16" max="16" width="6.75390625" style="0" hidden="1" customWidth="1"/>
    <col min="17" max="17" width="9.875" style="0" customWidth="1"/>
    <col min="18" max="31" width="6.75390625" style="0" customWidth="1"/>
    <col min="35" max="35" width="21.25390625" style="0" customWidth="1"/>
  </cols>
  <sheetData>
    <row r="1" spans="1:31" ht="37.5" customHeight="1" thickBot="1">
      <c r="A1" s="22" t="s">
        <v>96</v>
      </c>
      <c r="B1" s="23" t="s">
        <v>51</v>
      </c>
      <c r="C1" s="23" t="s">
        <v>52</v>
      </c>
      <c r="D1" s="23" t="s">
        <v>126</v>
      </c>
      <c r="E1" s="59">
        <v>2001</v>
      </c>
      <c r="F1" s="59">
        <v>2002</v>
      </c>
      <c r="G1" s="59">
        <v>2003</v>
      </c>
      <c r="H1" s="59">
        <v>2004</v>
      </c>
      <c r="I1" s="59">
        <v>2005</v>
      </c>
      <c r="J1" s="23" t="s">
        <v>127</v>
      </c>
      <c r="K1" s="23" t="s">
        <v>128</v>
      </c>
      <c r="L1" s="23" t="s">
        <v>129</v>
      </c>
      <c r="M1" s="23" t="s">
        <v>130</v>
      </c>
      <c r="N1" s="23" t="s">
        <v>131</v>
      </c>
      <c r="O1" s="23" t="s">
        <v>132</v>
      </c>
      <c r="P1" s="23" t="s">
        <v>132</v>
      </c>
      <c r="Q1" s="23" t="s">
        <v>118</v>
      </c>
      <c r="R1" s="23" t="s">
        <v>133</v>
      </c>
      <c r="S1" s="23" t="s">
        <v>53</v>
      </c>
      <c r="T1" s="23" t="s">
        <v>54</v>
      </c>
      <c r="U1" s="23" t="s">
        <v>55</v>
      </c>
      <c r="V1" s="23" t="s">
        <v>56</v>
      </c>
      <c r="W1" s="23" t="s">
        <v>57</v>
      </c>
      <c r="X1" s="23" t="s">
        <v>58</v>
      </c>
      <c r="Y1" s="23" t="s">
        <v>59</v>
      </c>
      <c r="Z1" s="23" t="s">
        <v>60</v>
      </c>
      <c r="AA1" s="23" t="s">
        <v>61</v>
      </c>
      <c r="AB1" s="23" t="s">
        <v>62</v>
      </c>
      <c r="AC1" s="23" t="s">
        <v>63</v>
      </c>
      <c r="AD1" s="23" t="s">
        <v>64</v>
      </c>
      <c r="AE1" s="23" t="s">
        <v>65</v>
      </c>
    </row>
    <row r="2" spans="1:31" ht="12.75" customHeight="1" hidden="1" thickTop="1">
      <c r="A2" s="24" t="s">
        <v>97</v>
      </c>
      <c r="B2" s="25">
        <v>2000</v>
      </c>
      <c r="C2" s="26" t="s">
        <v>66</v>
      </c>
      <c r="D2" s="60">
        <v>51000000</v>
      </c>
      <c r="E2" s="27"/>
      <c r="F2" s="27"/>
      <c r="G2" s="58"/>
      <c r="H2" s="27"/>
      <c r="I2" s="27"/>
      <c r="J2" s="27">
        <v>12000</v>
      </c>
      <c r="K2" s="27">
        <v>12000</v>
      </c>
      <c r="L2" s="27">
        <v>27000</v>
      </c>
      <c r="M2" s="27">
        <v>0</v>
      </c>
      <c r="N2" s="60">
        <v>0</v>
      </c>
      <c r="O2" s="27">
        <v>0</v>
      </c>
      <c r="P2" s="27">
        <v>0</v>
      </c>
      <c r="Q2" s="27"/>
      <c r="R2" s="27">
        <v>0</v>
      </c>
      <c r="S2" s="27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>
        <v>0</v>
      </c>
      <c r="Z2" s="27"/>
      <c r="AA2" s="27"/>
      <c r="AB2" s="27"/>
      <c r="AC2" s="27"/>
      <c r="AD2" s="27"/>
      <c r="AE2" s="28" t="s">
        <v>67</v>
      </c>
    </row>
    <row r="3" spans="1:31" ht="12.75" customHeight="1" hidden="1">
      <c r="A3" s="24" t="s">
        <v>98</v>
      </c>
      <c r="B3" s="29">
        <v>2000</v>
      </c>
      <c r="C3" s="26" t="s">
        <v>66</v>
      </c>
      <c r="D3" s="61">
        <v>41000000</v>
      </c>
      <c r="E3" s="30"/>
      <c r="F3" s="30"/>
      <c r="G3" s="62"/>
      <c r="H3" s="30"/>
      <c r="I3" s="30"/>
      <c r="J3" s="30">
        <v>10000</v>
      </c>
      <c r="K3" s="30">
        <v>10000</v>
      </c>
      <c r="L3" s="30">
        <v>21000</v>
      </c>
      <c r="M3" s="30">
        <v>0</v>
      </c>
      <c r="N3" s="61">
        <v>0</v>
      </c>
      <c r="O3" s="30">
        <v>0</v>
      </c>
      <c r="P3" s="30">
        <v>0</v>
      </c>
      <c r="Q3" s="30"/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/>
      <c r="AA3" s="30"/>
      <c r="AB3" s="30"/>
      <c r="AC3" s="30"/>
      <c r="AD3" s="30"/>
      <c r="AE3" s="28" t="s">
        <v>67</v>
      </c>
    </row>
    <row r="4" spans="1:31" ht="12.75" customHeight="1" hidden="1">
      <c r="A4" s="31" t="s">
        <v>99</v>
      </c>
      <c r="B4" s="29">
        <v>2000</v>
      </c>
      <c r="C4" s="26" t="s">
        <v>66</v>
      </c>
      <c r="D4" s="61">
        <v>30800000</v>
      </c>
      <c r="E4" s="30"/>
      <c r="F4" s="30"/>
      <c r="G4" s="62"/>
      <c r="H4" s="30"/>
      <c r="I4" s="30"/>
      <c r="J4" s="30">
        <v>13800</v>
      </c>
      <c r="K4" s="30">
        <v>13800</v>
      </c>
      <c r="L4" s="30">
        <v>3200</v>
      </c>
      <c r="M4" s="30">
        <v>0</v>
      </c>
      <c r="N4" s="61">
        <v>0</v>
      </c>
      <c r="O4" s="30">
        <v>0</v>
      </c>
      <c r="P4" s="30">
        <v>0</v>
      </c>
      <c r="Q4" s="30"/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/>
      <c r="AA4" s="30"/>
      <c r="AB4" s="30"/>
      <c r="AC4" s="30"/>
      <c r="AD4" s="30"/>
      <c r="AE4" s="28" t="s">
        <v>67</v>
      </c>
    </row>
    <row r="5" spans="1:31" ht="12.75" customHeight="1" thickTop="1">
      <c r="A5" s="32" t="s">
        <v>100</v>
      </c>
      <c r="B5" s="25">
        <v>2013</v>
      </c>
      <c r="C5" s="26" t="s">
        <v>68</v>
      </c>
      <c r="D5" s="60">
        <v>30000000</v>
      </c>
      <c r="E5" s="27">
        <v>0</v>
      </c>
      <c r="F5" s="27">
        <v>0</v>
      </c>
      <c r="G5" s="58">
        <v>30000000</v>
      </c>
      <c r="H5" s="27">
        <v>30000000</v>
      </c>
      <c r="I5" s="27">
        <v>30000</v>
      </c>
      <c r="J5" s="27">
        <f>30000000/1000</f>
        <v>30000</v>
      </c>
      <c r="K5" s="27">
        <f>30000000/1000</f>
        <v>30000</v>
      </c>
      <c r="L5" s="27">
        <v>30000</v>
      </c>
      <c r="M5" s="27">
        <v>30000</v>
      </c>
      <c r="N5" s="27">
        <v>30000000</v>
      </c>
      <c r="O5" s="27">
        <v>30000000</v>
      </c>
      <c r="P5" s="27">
        <v>30000</v>
      </c>
      <c r="Q5" s="27">
        <v>30000000</v>
      </c>
      <c r="R5" s="27">
        <v>30000</v>
      </c>
      <c r="S5" s="27">
        <v>30000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8" t="s">
        <v>119</v>
      </c>
    </row>
    <row r="6" spans="1:31" ht="12.75" customHeight="1" hidden="1">
      <c r="A6" s="33" t="s">
        <v>101</v>
      </c>
      <c r="B6" s="25">
        <v>2003</v>
      </c>
      <c r="C6" s="34" t="s">
        <v>69</v>
      </c>
      <c r="D6" s="61">
        <v>200000000</v>
      </c>
      <c r="E6" s="30">
        <v>0</v>
      </c>
      <c r="F6" s="30">
        <v>0</v>
      </c>
      <c r="G6" s="62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f>25000000/1000</f>
        <v>25000</v>
      </c>
      <c r="N6" s="30">
        <v>124958410</v>
      </c>
      <c r="O6" s="30">
        <v>0</v>
      </c>
      <c r="P6" s="30">
        <v>0</v>
      </c>
      <c r="Q6" s="30"/>
      <c r="R6" s="30">
        <v>0</v>
      </c>
      <c r="S6" s="30">
        <v>0</v>
      </c>
      <c r="T6" s="30">
        <v>0</v>
      </c>
      <c r="U6" s="30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8" t="s">
        <v>70</v>
      </c>
    </row>
    <row r="7" spans="1:31" ht="12.75" customHeight="1">
      <c r="A7" s="33" t="s">
        <v>102</v>
      </c>
      <c r="B7" s="25">
        <v>2005</v>
      </c>
      <c r="C7" s="34" t="s">
        <v>69</v>
      </c>
      <c r="D7" s="61">
        <v>149319</v>
      </c>
      <c r="E7" s="30"/>
      <c r="F7" s="30"/>
      <c r="G7" s="62"/>
      <c r="H7" s="30"/>
      <c r="I7" s="30">
        <v>0</v>
      </c>
      <c r="J7" s="30">
        <v>0</v>
      </c>
      <c r="K7" s="30">
        <v>35000</v>
      </c>
      <c r="L7" s="30">
        <f>35000000/1000</f>
        <v>35000</v>
      </c>
      <c r="M7" s="30">
        <f>35000000/1000</f>
        <v>35000</v>
      </c>
      <c r="N7" s="30">
        <v>175000000</v>
      </c>
      <c r="O7" s="30">
        <v>140000000</v>
      </c>
      <c r="P7" s="30">
        <f>35000000/1000</f>
        <v>35000</v>
      </c>
      <c r="Q7" s="30">
        <v>105000000</v>
      </c>
      <c r="R7" s="30">
        <f>35000000/1000</f>
        <v>35000</v>
      </c>
      <c r="S7" s="30">
        <f>35000000/1000</f>
        <v>35000</v>
      </c>
      <c r="T7" s="30">
        <f>35000000/1000</f>
        <v>35000</v>
      </c>
      <c r="U7" s="30">
        <f>35000000/1000</f>
        <v>35000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28" t="s">
        <v>70</v>
      </c>
    </row>
    <row r="8" spans="1:31" ht="12.75" customHeight="1">
      <c r="A8" s="32" t="s">
        <v>103</v>
      </c>
      <c r="B8" s="25">
        <v>2007</v>
      </c>
      <c r="C8" s="34" t="s">
        <v>69</v>
      </c>
      <c r="D8" s="60">
        <v>149319000</v>
      </c>
      <c r="E8" s="35"/>
      <c r="F8" s="35"/>
      <c r="G8" s="63"/>
      <c r="H8" s="35"/>
      <c r="I8" s="35">
        <v>0</v>
      </c>
      <c r="J8" s="35">
        <v>0</v>
      </c>
      <c r="K8" s="35">
        <v>0</v>
      </c>
      <c r="L8" s="35">
        <v>0</v>
      </c>
      <c r="M8" s="35">
        <v>20000</v>
      </c>
      <c r="N8" s="35">
        <v>140000000</v>
      </c>
      <c r="O8" s="35">
        <v>120000000</v>
      </c>
      <c r="P8" s="35">
        <v>20000</v>
      </c>
      <c r="Q8" s="35">
        <v>0</v>
      </c>
      <c r="R8" s="35">
        <v>120000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28" t="s">
        <v>71</v>
      </c>
    </row>
    <row r="9" spans="1:33" ht="12.75" customHeight="1">
      <c r="A9" s="32" t="s">
        <v>106</v>
      </c>
      <c r="B9" s="25">
        <v>2012</v>
      </c>
      <c r="C9" s="34" t="s">
        <v>76</v>
      </c>
      <c r="D9" s="64">
        <v>0</v>
      </c>
      <c r="E9" s="35"/>
      <c r="F9" s="35"/>
      <c r="G9" s="63"/>
      <c r="H9" s="35"/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150000000</v>
      </c>
      <c r="P9" s="35"/>
      <c r="Q9" s="35">
        <v>158400000</v>
      </c>
      <c r="R9" s="35">
        <v>-8400</v>
      </c>
      <c r="S9" s="35">
        <v>17600</v>
      </c>
      <c r="T9" s="35">
        <v>17600</v>
      </c>
      <c r="U9" s="35">
        <v>17600</v>
      </c>
      <c r="V9" s="35">
        <v>17600</v>
      </c>
      <c r="W9" s="35">
        <v>17600</v>
      </c>
      <c r="X9" s="35">
        <v>17600</v>
      </c>
      <c r="Y9" s="35">
        <v>17600</v>
      </c>
      <c r="Z9" s="35">
        <v>17600</v>
      </c>
      <c r="AA9" s="35">
        <v>17600</v>
      </c>
      <c r="AB9" s="35">
        <v>0</v>
      </c>
      <c r="AC9" s="35">
        <v>0</v>
      </c>
      <c r="AD9" s="36" t="s">
        <v>120</v>
      </c>
      <c r="AE9" s="28" t="s">
        <v>77</v>
      </c>
      <c r="AG9" s="37"/>
    </row>
    <row r="10" spans="1:33" ht="12.75" customHeight="1">
      <c r="A10" s="32" t="s">
        <v>107</v>
      </c>
      <c r="B10" s="25">
        <v>2012</v>
      </c>
      <c r="C10" s="34" t="s">
        <v>69</v>
      </c>
      <c r="D10" s="64">
        <v>0</v>
      </c>
      <c r="E10" s="35"/>
      <c r="F10" s="35"/>
      <c r="G10" s="63"/>
      <c r="H10" s="35"/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84000000</v>
      </c>
      <c r="P10" s="35"/>
      <c r="Q10" s="35">
        <v>84000000</v>
      </c>
      <c r="R10" s="35">
        <v>0</v>
      </c>
      <c r="S10" s="35">
        <v>0</v>
      </c>
      <c r="T10" s="35">
        <f aca="true" t="shared" si="0" ref="T10:AD10">(1166667*4)/1000</f>
        <v>4666.668</v>
      </c>
      <c r="U10" s="35">
        <f t="shared" si="0"/>
        <v>4666.668</v>
      </c>
      <c r="V10" s="35">
        <f t="shared" si="0"/>
        <v>4666.668</v>
      </c>
      <c r="W10" s="35">
        <f t="shared" si="0"/>
        <v>4666.668</v>
      </c>
      <c r="X10" s="35">
        <f t="shared" si="0"/>
        <v>4666.668</v>
      </c>
      <c r="Y10" s="35">
        <f t="shared" si="0"/>
        <v>4666.668</v>
      </c>
      <c r="Z10" s="35">
        <f t="shared" si="0"/>
        <v>4666.668</v>
      </c>
      <c r="AA10" s="35">
        <f t="shared" si="0"/>
        <v>4666.668</v>
      </c>
      <c r="AB10" s="35">
        <f t="shared" si="0"/>
        <v>4666.668</v>
      </c>
      <c r="AC10" s="35">
        <f t="shared" si="0"/>
        <v>4666.668</v>
      </c>
      <c r="AD10" s="35">
        <f t="shared" si="0"/>
        <v>4666.668</v>
      </c>
      <c r="AE10" s="28" t="s">
        <v>78</v>
      </c>
      <c r="AG10" s="37"/>
    </row>
    <row r="11" spans="1:33" ht="12.75" customHeight="1">
      <c r="A11" s="32" t="s">
        <v>123</v>
      </c>
      <c r="B11" s="25">
        <v>2013</v>
      </c>
      <c r="C11" s="34" t="s">
        <v>69</v>
      </c>
      <c r="D11" s="64"/>
      <c r="E11" s="35"/>
      <c r="F11" s="35"/>
      <c r="G11" s="63"/>
      <c r="H11" s="35"/>
      <c r="I11" s="35"/>
      <c r="J11" s="35"/>
      <c r="K11" s="35"/>
      <c r="L11" s="35"/>
      <c r="M11" s="35"/>
      <c r="N11" s="35"/>
      <c r="O11" s="35">
        <v>0</v>
      </c>
      <c r="P11" s="35"/>
      <c r="Q11" s="35">
        <v>180000000</v>
      </c>
      <c r="R11" s="35">
        <v>0</v>
      </c>
      <c r="S11" s="35">
        <v>0</v>
      </c>
      <c r="T11" s="35">
        <v>0</v>
      </c>
      <c r="U11" s="35">
        <f aca="true" t="shared" si="1" ref="U11:AD11">2500*4</f>
        <v>10000</v>
      </c>
      <c r="V11" s="35">
        <f t="shared" si="1"/>
        <v>10000</v>
      </c>
      <c r="W11" s="35">
        <f t="shared" si="1"/>
        <v>10000</v>
      </c>
      <c r="X11" s="35">
        <f t="shared" si="1"/>
        <v>10000</v>
      </c>
      <c r="Y11" s="35">
        <f t="shared" si="1"/>
        <v>10000</v>
      </c>
      <c r="Z11" s="35">
        <f t="shared" si="1"/>
        <v>10000</v>
      </c>
      <c r="AA11" s="35">
        <f t="shared" si="1"/>
        <v>10000</v>
      </c>
      <c r="AB11" s="35">
        <f t="shared" si="1"/>
        <v>10000</v>
      </c>
      <c r="AC11" s="35">
        <f t="shared" si="1"/>
        <v>10000</v>
      </c>
      <c r="AD11" s="35">
        <f t="shared" si="1"/>
        <v>10000</v>
      </c>
      <c r="AE11" s="28" t="s">
        <v>121</v>
      </c>
      <c r="AG11" s="37"/>
    </row>
    <row r="12" spans="1:31" ht="12.75" customHeight="1">
      <c r="A12" s="32" t="s">
        <v>104</v>
      </c>
      <c r="B12" s="25">
        <v>2009</v>
      </c>
      <c r="C12" s="34" t="s">
        <v>69</v>
      </c>
      <c r="D12" s="64">
        <v>0</v>
      </c>
      <c r="E12" s="35"/>
      <c r="F12" s="35"/>
      <c r="G12" s="63"/>
      <c r="H12" s="35"/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250000000</v>
      </c>
      <c r="O12" s="35">
        <v>250000000</v>
      </c>
      <c r="P12" s="35">
        <v>0</v>
      </c>
      <c r="Q12" s="35">
        <v>250000000</v>
      </c>
      <c r="R12" s="35">
        <v>0</v>
      </c>
      <c r="S12" s="35">
        <v>6250</v>
      </c>
      <c r="T12" s="35">
        <v>12500</v>
      </c>
      <c r="U12" s="35">
        <v>12500</v>
      </c>
      <c r="V12" s="35">
        <v>12500</v>
      </c>
      <c r="W12" s="35">
        <v>12500</v>
      </c>
      <c r="X12" s="35">
        <v>12500</v>
      </c>
      <c r="Y12" s="35">
        <v>12500</v>
      </c>
      <c r="Z12" s="35">
        <v>12500</v>
      </c>
      <c r="AA12" s="35">
        <v>12500</v>
      </c>
      <c r="AB12" s="35">
        <v>12500</v>
      </c>
      <c r="AC12" s="35">
        <v>12500</v>
      </c>
      <c r="AD12" s="35">
        <v>12500</v>
      </c>
      <c r="AE12" s="28" t="s">
        <v>72</v>
      </c>
    </row>
    <row r="13" spans="1:31" ht="12.75" customHeight="1">
      <c r="A13" s="32" t="s">
        <v>104</v>
      </c>
      <c r="B13" s="25">
        <v>2009</v>
      </c>
      <c r="C13" s="34" t="s">
        <v>69</v>
      </c>
      <c r="D13" s="64">
        <v>0</v>
      </c>
      <c r="E13" s="35"/>
      <c r="F13" s="35"/>
      <c r="G13" s="63"/>
      <c r="H13" s="35"/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250000000</v>
      </c>
      <c r="O13" s="35">
        <v>250000000</v>
      </c>
      <c r="P13" s="35">
        <v>0</v>
      </c>
      <c r="Q13" s="35">
        <v>250000000</v>
      </c>
      <c r="R13" s="35">
        <v>0</v>
      </c>
      <c r="S13" s="35">
        <v>6250</v>
      </c>
      <c r="T13" s="35">
        <v>12500</v>
      </c>
      <c r="U13" s="35">
        <v>12500</v>
      </c>
      <c r="V13" s="35">
        <v>12500</v>
      </c>
      <c r="W13" s="35">
        <v>12500</v>
      </c>
      <c r="X13" s="35">
        <v>12500</v>
      </c>
      <c r="Y13" s="35">
        <v>12500</v>
      </c>
      <c r="Z13" s="35">
        <v>12500</v>
      </c>
      <c r="AA13" s="35">
        <v>12500</v>
      </c>
      <c r="AB13" s="35">
        <v>12500</v>
      </c>
      <c r="AC13" s="35">
        <v>12500</v>
      </c>
      <c r="AD13" s="35">
        <v>12500</v>
      </c>
      <c r="AE13" s="28" t="s">
        <v>72</v>
      </c>
    </row>
    <row r="14" spans="1:31" ht="12.75" customHeight="1">
      <c r="A14" s="32" t="s">
        <v>104</v>
      </c>
      <c r="B14" s="25">
        <v>2010</v>
      </c>
      <c r="C14" s="34" t="s">
        <v>69</v>
      </c>
      <c r="D14" s="64">
        <v>0</v>
      </c>
      <c r="E14" s="35"/>
      <c r="F14" s="35"/>
      <c r="G14" s="63"/>
      <c r="H14" s="35"/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250000000</v>
      </c>
      <c r="O14" s="35">
        <v>250000000</v>
      </c>
      <c r="P14" s="35">
        <v>0</v>
      </c>
      <c r="Q14" s="35">
        <v>250000000</v>
      </c>
      <c r="R14" s="35">
        <v>0</v>
      </c>
      <c r="S14" s="35">
        <v>0</v>
      </c>
      <c r="T14" s="35">
        <v>9260</v>
      </c>
      <c r="U14" s="35">
        <v>12346</v>
      </c>
      <c r="V14" s="35">
        <v>12346</v>
      </c>
      <c r="W14" s="35">
        <v>12346</v>
      </c>
      <c r="X14" s="35">
        <v>12346</v>
      </c>
      <c r="Y14" s="35">
        <v>12346</v>
      </c>
      <c r="Z14" s="35">
        <v>12346</v>
      </c>
      <c r="AA14" s="35">
        <v>12346</v>
      </c>
      <c r="AB14" s="35">
        <v>12346</v>
      </c>
      <c r="AC14" s="35">
        <v>12346</v>
      </c>
      <c r="AD14" s="35">
        <v>12346</v>
      </c>
      <c r="AE14" s="28" t="s">
        <v>73</v>
      </c>
    </row>
    <row r="15" spans="1:31" ht="12.75" customHeight="1">
      <c r="A15" s="32" t="s">
        <v>104</v>
      </c>
      <c r="B15" s="25">
        <v>2011</v>
      </c>
      <c r="C15" s="34" t="s">
        <v>69</v>
      </c>
      <c r="D15" s="64">
        <v>0</v>
      </c>
      <c r="E15" s="35"/>
      <c r="F15" s="35"/>
      <c r="G15" s="63"/>
      <c r="H15" s="35"/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250000000</v>
      </c>
      <c r="O15" s="35">
        <v>250000000</v>
      </c>
      <c r="P15" s="35">
        <v>0</v>
      </c>
      <c r="Q15" s="35">
        <v>250000000</v>
      </c>
      <c r="R15" s="35">
        <v>0</v>
      </c>
      <c r="S15" s="35">
        <v>0</v>
      </c>
      <c r="T15" s="35">
        <v>0</v>
      </c>
      <c r="U15" s="35">
        <v>9260</v>
      </c>
      <c r="V15" s="35">
        <v>12346</v>
      </c>
      <c r="W15" s="35">
        <v>12346</v>
      </c>
      <c r="X15" s="35">
        <v>12346</v>
      </c>
      <c r="Y15" s="35">
        <v>12346</v>
      </c>
      <c r="Z15" s="35">
        <v>12346</v>
      </c>
      <c r="AA15" s="35">
        <v>12346</v>
      </c>
      <c r="AB15" s="35">
        <v>12346</v>
      </c>
      <c r="AC15" s="35">
        <v>12346</v>
      </c>
      <c r="AD15" s="35">
        <v>12346</v>
      </c>
      <c r="AE15" s="28" t="s">
        <v>74</v>
      </c>
    </row>
    <row r="16" spans="1:31" ht="12.75" customHeight="1">
      <c r="A16" s="32" t="s">
        <v>105</v>
      </c>
      <c r="B16" s="25">
        <v>2012</v>
      </c>
      <c r="C16" s="34" t="s">
        <v>69</v>
      </c>
      <c r="D16" s="64"/>
      <c r="E16" s="35"/>
      <c r="F16" s="35"/>
      <c r="G16" s="63"/>
      <c r="H16" s="35"/>
      <c r="I16" s="35"/>
      <c r="J16" s="35"/>
      <c r="K16" s="35"/>
      <c r="L16" s="35"/>
      <c r="M16" s="35"/>
      <c r="N16" s="35">
        <v>0</v>
      </c>
      <c r="O16" s="35">
        <v>150000000</v>
      </c>
      <c r="P16" s="35"/>
      <c r="Q16" s="35">
        <v>150000000</v>
      </c>
      <c r="R16" s="35">
        <v>0</v>
      </c>
      <c r="S16" s="35">
        <v>0</v>
      </c>
      <c r="T16" s="35">
        <v>0</v>
      </c>
      <c r="U16" s="35">
        <v>0</v>
      </c>
      <c r="V16" s="35">
        <v>1875</v>
      </c>
      <c r="W16" s="35">
        <f aca="true" t="shared" si="2" ref="W16:AD16">1875*4</f>
        <v>7500</v>
      </c>
      <c r="X16" s="35">
        <f t="shared" si="2"/>
        <v>7500</v>
      </c>
      <c r="Y16" s="35">
        <f t="shared" si="2"/>
        <v>7500</v>
      </c>
      <c r="Z16" s="35">
        <f t="shared" si="2"/>
        <v>7500</v>
      </c>
      <c r="AA16" s="35">
        <f t="shared" si="2"/>
        <v>7500</v>
      </c>
      <c r="AB16" s="35">
        <f t="shared" si="2"/>
        <v>7500</v>
      </c>
      <c r="AC16" s="35">
        <f t="shared" si="2"/>
        <v>7500</v>
      </c>
      <c r="AD16" s="35">
        <f t="shared" si="2"/>
        <v>7500</v>
      </c>
      <c r="AE16" s="28" t="s">
        <v>75</v>
      </c>
    </row>
    <row r="17" spans="1:31" ht="12.75" customHeight="1">
      <c r="A17" s="32" t="s">
        <v>124</v>
      </c>
      <c r="B17" s="25">
        <v>2013</v>
      </c>
      <c r="C17" s="34" t="s">
        <v>69</v>
      </c>
      <c r="D17" s="64"/>
      <c r="E17" s="35"/>
      <c r="F17" s="35"/>
      <c r="G17" s="63"/>
      <c r="H17" s="35"/>
      <c r="I17" s="35"/>
      <c r="J17" s="35"/>
      <c r="K17" s="35"/>
      <c r="L17" s="35"/>
      <c r="M17" s="35"/>
      <c r="N17" s="35"/>
      <c r="O17" s="35">
        <v>0</v>
      </c>
      <c r="P17" s="35"/>
      <c r="Q17" s="35">
        <v>200000000</v>
      </c>
      <c r="R17" s="35">
        <v>0</v>
      </c>
      <c r="S17" s="35"/>
      <c r="T17" s="35"/>
      <c r="U17" s="35"/>
      <c r="V17" s="35">
        <v>7059</v>
      </c>
      <c r="W17" s="35">
        <v>9412</v>
      </c>
      <c r="X17" s="35">
        <v>9412</v>
      </c>
      <c r="Y17" s="35">
        <v>9412</v>
      </c>
      <c r="Z17" s="35">
        <v>9412</v>
      </c>
      <c r="AA17" s="35">
        <v>9412</v>
      </c>
      <c r="AB17" s="35">
        <v>9412</v>
      </c>
      <c r="AC17" s="35">
        <v>9412</v>
      </c>
      <c r="AD17" s="35">
        <v>9412</v>
      </c>
      <c r="AE17" s="28" t="s">
        <v>122</v>
      </c>
    </row>
    <row r="18" spans="1:31" ht="15" customHeight="1">
      <c r="A18" s="38" t="s">
        <v>79</v>
      </c>
      <c r="B18" s="39"/>
      <c r="C18" s="40"/>
      <c r="D18" s="65">
        <f>SUM(D2:D16)</f>
        <v>502268319</v>
      </c>
      <c r="E18" s="65">
        <f aca="true" t="shared" si="3" ref="E18:K18">SUM(E2:E7)</f>
        <v>0</v>
      </c>
      <c r="F18" s="65">
        <f t="shared" si="3"/>
        <v>0</v>
      </c>
      <c r="G18" s="65">
        <f t="shared" si="3"/>
        <v>30000000</v>
      </c>
      <c r="H18" s="65">
        <f t="shared" si="3"/>
        <v>30000000</v>
      </c>
      <c r="I18" s="65">
        <f t="shared" si="3"/>
        <v>30000</v>
      </c>
      <c r="J18" s="41">
        <f t="shared" si="3"/>
        <v>65800</v>
      </c>
      <c r="K18" s="41">
        <f t="shared" si="3"/>
        <v>100800</v>
      </c>
      <c r="L18" s="41">
        <f>SUM(L2:L8)</f>
        <v>116200</v>
      </c>
      <c r="M18" s="41">
        <f>SUM(M2:M8)</f>
        <v>110000</v>
      </c>
      <c r="N18" s="65">
        <f>SUM(N2:N16)</f>
        <v>1469958410</v>
      </c>
      <c r="O18" s="41">
        <f>SUM(O2:O17)</f>
        <v>1674000000</v>
      </c>
      <c r="P18" s="41">
        <f>SUM(P2:P16)</f>
        <v>85000</v>
      </c>
      <c r="Q18" s="41">
        <f>SUM(Q5:Q17)</f>
        <v>1907400000</v>
      </c>
      <c r="R18" s="41">
        <f aca="true" t="shared" si="4" ref="R18:AD18">SUM(R2:R17)</f>
        <v>176600</v>
      </c>
      <c r="S18" s="41">
        <f t="shared" si="4"/>
        <v>95100</v>
      </c>
      <c r="T18" s="41">
        <f t="shared" si="4"/>
        <v>91526.668</v>
      </c>
      <c r="U18" s="41">
        <f t="shared" si="4"/>
        <v>113872.668</v>
      </c>
      <c r="V18" s="41">
        <f t="shared" si="4"/>
        <v>90892.668</v>
      </c>
      <c r="W18" s="41">
        <f t="shared" si="4"/>
        <v>98870.668</v>
      </c>
      <c r="X18" s="41">
        <f t="shared" si="4"/>
        <v>98870.668</v>
      </c>
      <c r="Y18" s="41">
        <f t="shared" si="4"/>
        <v>98870.668</v>
      </c>
      <c r="Z18" s="41">
        <f t="shared" si="4"/>
        <v>98870.668</v>
      </c>
      <c r="AA18" s="41">
        <f t="shared" si="4"/>
        <v>98870.668</v>
      </c>
      <c r="AB18" s="41">
        <f t="shared" si="4"/>
        <v>81270.668</v>
      </c>
      <c r="AC18" s="41">
        <f t="shared" si="4"/>
        <v>81270.668</v>
      </c>
      <c r="AD18" s="41">
        <f t="shared" si="4"/>
        <v>81270.668</v>
      </c>
      <c r="AE18" s="42" t="s">
        <v>80</v>
      </c>
    </row>
    <row r="19" spans="1:31" ht="12.75" customHeight="1">
      <c r="A19" s="24" t="s">
        <v>108</v>
      </c>
      <c r="B19" s="25">
        <v>2000</v>
      </c>
      <c r="C19" s="26" t="s">
        <v>81</v>
      </c>
      <c r="D19" s="60">
        <v>176470000</v>
      </c>
      <c r="E19" s="27">
        <v>0</v>
      </c>
      <c r="F19" s="27">
        <v>0</v>
      </c>
      <c r="G19" s="58">
        <v>0</v>
      </c>
      <c r="H19" s="27">
        <v>11765000</v>
      </c>
      <c r="I19" s="27">
        <v>11765</v>
      </c>
      <c r="J19" s="27">
        <f>11765000/1000</f>
        <v>11765</v>
      </c>
      <c r="K19" s="27">
        <f>11765000/1000</f>
        <v>11765</v>
      </c>
      <c r="L19" s="27">
        <f>11765000/1000</f>
        <v>11765</v>
      </c>
      <c r="M19" s="27">
        <f>11765000/1000</f>
        <v>11765</v>
      </c>
      <c r="N19" s="27">
        <v>105880000</v>
      </c>
      <c r="O19" s="27">
        <v>94115000</v>
      </c>
      <c r="P19" s="27">
        <f>11765000/1000</f>
        <v>11765</v>
      </c>
      <c r="Q19" s="27">
        <v>82350000</v>
      </c>
      <c r="R19" s="27">
        <f aca="true" t="shared" si="5" ref="R19:X19">11765000/1000</f>
        <v>11765</v>
      </c>
      <c r="S19" s="27">
        <f t="shared" si="5"/>
        <v>11765</v>
      </c>
      <c r="T19" s="27">
        <f t="shared" si="5"/>
        <v>11765</v>
      </c>
      <c r="U19" s="27">
        <f t="shared" si="5"/>
        <v>11765</v>
      </c>
      <c r="V19" s="27">
        <f t="shared" si="5"/>
        <v>11765</v>
      </c>
      <c r="W19" s="27">
        <f t="shared" si="5"/>
        <v>11765</v>
      </c>
      <c r="X19" s="27">
        <f t="shared" si="5"/>
        <v>11765</v>
      </c>
      <c r="Y19" s="27">
        <f>11760000/1000</f>
        <v>11760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 t="s">
        <v>82</v>
      </c>
    </row>
    <row r="20" spans="1:31" ht="12.75" customHeight="1" hidden="1">
      <c r="A20" s="24" t="s">
        <v>109</v>
      </c>
      <c r="B20" s="25">
        <v>2001</v>
      </c>
      <c r="C20" s="26" t="s">
        <v>83</v>
      </c>
      <c r="D20" s="60">
        <v>33780000</v>
      </c>
      <c r="E20" s="27"/>
      <c r="F20" s="27"/>
      <c r="G20" s="58"/>
      <c r="H20" s="27"/>
      <c r="I20" s="27"/>
      <c r="J20" s="27">
        <v>16890</v>
      </c>
      <c r="K20" s="27">
        <v>16890</v>
      </c>
      <c r="L20" s="27">
        <v>0</v>
      </c>
      <c r="M20" s="27"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 t="s">
        <v>84</v>
      </c>
    </row>
    <row r="21" spans="1:31" ht="12.75" customHeight="1" hidden="1">
      <c r="A21" s="24" t="s">
        <v>110</v>
      </c>
      <c r="B21" s="25">
        <v>2001</v>
      </c>
      <c r="C21" s="26" t="s">
        <v>85</v>
      </c>
      <c r="D21" s="60">
        <v>5548000</v>
      </c>
      <c r="E21" s="27"/>
      <c r="F21" s="27"/>
      <c r="G21" s="58"/>
      <c r="H21" s="27"/>
      <c r="I21" s="27"/>
      <c r="J21" s="27">
        <v>1388</v>
      </c>
      <c r="K21" s="27">
        <v>1388</v>
      </c>
      <c r="L21" s="27">
        <v>1388</v>
      </c>
      <c r="M21" s="27">
        <v>1384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 t="s">
        <v>77</v>
      </c>
    </row>
    <row r="22" spans="1:31" ht="12.75" customHeight="1" hidden="1">
      <c r="A22" s="24" t="s">
        <v>111</v>
      </c>
      <c r="B22" s="25">
        <v>1997</v>
      </c>
      <c r="C22" s="26" t="s">
        <v>86</v>
      </c>
      <c r="D22" s="60">
        <v>69609000</v>
      </c>
      <c r="E22" s="27"/>
      <c r="F22" s="27"/>
      <c r="G22" s="58"/>
      <c r="H22" s="27"/>
      <c r="I22" s="27"/>
      <c r="J22" s="27">
        <v>4200</v>
      </c>
      <c r="K22" s="27">
        <v>57415</v>
      </c>
      <c r="L22" s="27">
        <v>7994</v>
      </c>
      <c r="M22" s="27">
        <v>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 t="s">
        <v>87</v>
      </c>
    </row>
    <row r="23" spans="1:33" ht="24" customHeight="1">
      <c r="A23" s="24" t="s">
        <v>112</v>
      </c>
      <c r="B23" s="25">
        <v>2011</v>
      </c>
      <c r="C23" s="26" t="s">
        <v>88</v>
      </c>
      <c r="D23" s="60">
        <v>5052000</v>
      </c>
      <c r="E23" s="27">
        <v>0</v>
      </c>
      <c r="F23" s="27">
        <v>872900</v>
      </c>
      <c r="G23" s="58">
        <v>872900</v>
      </c>
      <c r="H23" s="27">
        <v>872900</v>
      </c>
      <c r="I23" s="27">
        <v>872.9</v>
      </c>
      <c r="J23" s="27">
        <f>872900/1000</f>
        <v>872.9</v>
      </c>
      <c r="K23" s="27">
        <f>872900/1000</f>
        <v>872.9</v>
      </c>
      <c r="L23" s="27">
        <f>872900/1000</f>
        <v>872.9</v>
      </c>
      <c r="M23" s="27">
        <f>872900/1000</f>
        <v>872.9</v>
      </c>
      <c r="N23" s="27">
        <v>1800000</v>
      </c>
      <c r="O23" s="27">
        <v>1632470</v>
      </c>
      <c r="P23" s="27">
        <v>0</v>
      </c>
      <c r="Q23" s="58">
        <v>1456779</v>
      </c>
      <c r="R23" s="27">
        <v>175.691</v>
      </c>
      <c r="S23" s="27">
        <v>175.691</v>
      </c>
      <c r="T23" s="27">
        <v>175.691</v>
      </c>
      <c r="U23" s="27">
        <v>175.691</v>
      </c>
      <c r="V23" s="27">
        <v>175.691</v>
      </c>
      <c r="W23" s="27">
        <v>175.691</v>
      </c>
      <c r="X23" s="27">
        <v>175.691</v>
      </c>
      <c r="Y23" s="27">
        <v>175.691</v>
      </c>
      <c r="Z23" s="27">
        <v>175.691</v>
      </c>
      <c r="AA23" s="27">
        <v>51.251</v>
      </c>
      <c r="AB23" s="27">
        <v>0</v>
      </c>
      <c r="AC23" s="27">
        <v>0</v>
      </c>
      <c r="AD23" s="27">
        <v>0</v>
      </c>
      <c r="AE23" s="28" t="s">
        <v>77</v>
      </c>
      <c r="AG23" s="37"/>
    </row>
    <row r="24" spans="1:31" ht="12.75" customHeight="1">
      <c r="A24" s="31" t="s">
        <v>113</v>
      </c>
      <c r="B24" s="29">
        <v>2005</v>
      </c>
      <c r="C24" s="34" t="s">
        <v>89</v>
      </c>
      <c r="D24" s="61">
        <v>9597000</v>
      </c>
      <c r="E24" s="30">
        <v>0</v>
      </c>
      <c r="F24" s="30">
        <v>0</v>
      </c>
      <c r="G24" s="62">
        <v>0</v>
      </c>
      <c r="H24" s="30">
        <v>0</v>
      </c>
      <c r="I24" s="30">
        <v>0</v>
      </c>
      <c r="J24" s="30">
        <v>0</v>
      </c>
      <c r="K24" s="30">
        <v>2436</v>
      </c>
      <c r="L24" s="30">
        <f>(609000*4)/1000</f>
        <v>2436</v>
      </c>
      <c r="M24" s="30">
        <f>(609000*4)/1000</f>
        <v>2436</v>
      </c>
      <c r="N24" s="66">
        <v>3139243</v>
      </c>
      <c r="O24" s="66">
        <v>703243</v>
      </c>
      <c r="P24" s="30">
        <f>(609000*4)/1000</f>
        <v>2436</v>
      </c>
      <c r="Q24" s="30">
        <v>0</v>
      </c>
      <c r="R24" s="30">
        <v>703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8" t="s">
        <v>90</v>
      </c>
    </row>
    <row r="25" spans="1:31" ht="15" customHeight="1">
      <c r="A25" s="38" t="s">
        <v>91</v>
      </c>
      <c r="B25" s="43"/>
      <c r="C25" s="40"/>
      <c r="D25" s="65">
        <f aca="true" t="shared" si="6" ref="D25:AD25">SUM(D19:D24)</f>
        <v>300056000</v>
      </c>
      <c r="E25" s="65">
        <f t="shared" si="6"/>
        <v>0</v>
      </c>
      <c r="F25" s="65">
        <f t="shared" si="6"/>
        <v>872900</v>
      </c>
      <c r="G25" s="65">
        <f t="shared" si="6"/>
        <v>872900</v>
      </c>
      <c r="H25" s="65">
        <f t="shared" si="6"/>
        <v>12637900</v>
      </c>
      <c r="I25" s="65">
        <f t="shared" si="6"/>
        <v>12637.9</v>
      </c>
      <c r="J25" s="41">
        <f t="shared" si="6"/>
        <v>35115.9</v>
      </c>
      <c r="K25" s="41">
        <f t="shared" si="6"/>
        <v>90766.9</v>
      </c>
      <c r="L25" s="41">
        <f t="shared" si="6"/>
        <v>24455.9</v>
      </c>
      <c r="M25" s="41">
        <f t="shared" si="6"/>
        <v>16457.9</v>
      </c>
      <c r="N25" s="65">
        <f t="shared" si="6"/>
        <v>110819243</v>
      </c>
      <c r="O25" s="41">
        <f t="shared" si="6"/>
        <v>96450713</v>
      </c>
      <c r="P25" s="41">
        <f t="shared" si="6"/>
        <v>14201</v>
      </c>
      <c r="Q25" s="41">
        <f t="shared" si="6"/>
        <v>83806779</v>
      </c>
      <c r="R25" s="41">
        <f t="shared" si="6"/>
        <v>12643.691</v>
      </c>
      <c r="S25" s="41">
        <f t="shared" si="6"/>
        <v>11940.691</v>
      </c>
      <c r="T25" s="41">
        <f t="shared" si="6"/>
        <v>11940.691</v>
      </c>
      <c r="U25" s="41">
        <f t="shared" si="6"/>
        <v>11940.691</v>
      </c>
      <c r="V25" s="41">
        <f t="shared" si="6"/>
        <v>11940.691</v>
      </c>
      <c r="W25" s="41">
        <f t="shared" si="6"/>
        <v>11940.691</v>
      </c>
      <c r="X25" s="41">
        <f t="shared" si="6"/>
        <v>11940.691</v>
      </c>
      <c r="Y25" s="41">
        <f t="shared" si="6"/>
        <v>11935.691</v>
      </c>
      <c r="Z25" s="41">
        <f t="shared" si="6"/>
        <v>175.691</v>
      </c>
      <c r="AA25" s="41">
        <f t="shared" si="6"/>
        <v>51.251</v>
      </c>
      <c r="AB25" s="41">
        <f t="shared" si="6"/>
        <v>0</v>
      </c>
      <c r="AC25" s="41">
        <f t="shared" si="6"/>
        <v>0</v>
      </c>
      <c r="AD25" s="41">
        <f t="shared" si="6"/>
        <v>0</v>
      </c>
      <c r="AE25" s="42" t="s">
        <v>80</v>
      </c>
    </row>
    <row r="26" spans="1:31" ht="13.5">
      <c r="A26" s="44"/>
      <c r="B26" s="44"/>
      <c r="C26" s="45"/>
      <c r="D26" s="67"/>
      <c r="E26" s="46"/>
      <c r="F26" s="46"/>
      <c r="G26" s="46"/>
      <c r="H26" s="46"/>
      <c r="I26" s="46"/>
      <c r="J26" s="46"/>
      <c r="K26" s="46"/>
      <c r="L26" s="46"/>
      <c r="M26" s="46"/>
      <c r="N26" s="67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7"/>
    </row>
    <row r="27" spans="1:31" ht="13.5">
      <c r="A27" s="44"/>
      <c r="B27" s="44"/>
      <c r="C27" s="45"/>
      <c r="D27" s="67"/>
      <c r="E27" s="46"/>
      <c r="F27" s="46"/>
      <c r="G27" s="46"/>
      <c r="H27" s="46"/>
      <c r="I27" s="46"/>
      <c r="J27" s="46"/>
      <c r="K27" s="46"/>
      <c r="L27" s="46"/>
      <c r="M27" s="46"/>
      <c r="N27" s="67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7"/>
    </row>
    <row r="28" spans="1:31" ht="23.25" customHeight="1">
      <c r="A28" s="74" t="s">
        <v>92</v>
      </c>
      <c r="B28" s="75"/>
      <c r="C28" s="75"/>
      <c r="D28" s="68">
        <f>D18+D25</f>
        <v>802324319</v>
      </c>
      <c r="E28" s="48"/>
      <c r="F28" s="48"/>
      <c r="G28" s="48"/>
      <c r="H28" s="48"/>
      <c r="I28" s="48"/>
      <c r="J28" s="48">
        <v>937616</v>
      </c>
      <c r="K28" s="48">
        <v>918921</v>
      </c>
      <c r="L28" s="48">
        <v>865440</v>
      </c>
      <c r="M28" s="48">
        <v>1268982</v>
      </c>
      <c r="N28" s="68">
        <f>N18+N25</f>
        <v>1580777653</v>
      </c>
      <c r="O28" s="48">
        <f>SUM(O18+O25)</f>
        <v>1770450713</v>
      </c>
      <c r="P28" s="48">
        <f>1268982-95762+250000</f>
        <v>1423220</v>
      </c>
      <c r="Q28" s="48">
        <f>Q18+Q25</f>
        <v>1991206779</v>
      </c>
      <c r="R28" s="48">
        <f>O28/1000-R29+180000+200000</f>
        <v>1991207.0219999999</v>
      </c>
      <c r="S28" s="48">
        <f aca="true" t="shared" si="7" ref="S28:Y28">R28-S18-S25</f>
        <v>1884166.3309999998</v>
      </c>
      <c r="T28" s="48">
        <f t="shared" si="7"/>
        <v>1780698.9719999996</v>
      </c>
      <c r="U28" s="48">
        <f t="shared" si="7"/>
        <v>1654885.6129999994</v>
      </c>
      <c r="V28" s="48">
        <f t="shared" si="7"/>
        <v>1552052.2539999993</v>
      </c>
      <c r="W28" s="48">
        <f t="shared" si="7"/>
        <v>1441240.894999999</v>
      </c>
      <c r="X28" s="48">
        <f t="shared" si="7"/>
        <v>1330429.535999999</v>
      </c>
      <c r="Y28" s="48">
        <f t="shared" si="7"/>
        <v>1219623.1769999987</v>
      </c>
      <c r="Z28" s="48">
        <f>Y28-Z29</f>
        <v>1120576.8179999988</v>
      </c>
      <c r="AA28" s="48">
        <f>Z28-AA29</f>
        <v>1021654.8989999988</v>
      </c>
      <c r="AB28" s="48">
        <f>AA28-AB29</f>
        <v>940384.2309999987</v>
      </c>
      <c r="AC28" s="48">
        <f>AB28-AC29</f>
        <v>859113.5629999987</v>
      </c>
      <c r="AD28" s="48">
        <f>AC28-AD29</f>
        <v>777842.8949999986</v>
      </c>
      <c r="AE28" s="42" t="s">
        <v>80</v>
      </c>
    </row>
    <row r="29" spans="1:31" ht="15" customHeight="1">
      <c r="A29" s="76" t="s">
        <v>93</v>
      </c>
      <c r="B29" s="77"/>
      <c r="C29" s="78"/>
      <c r="D29" s="69" t="s">
        <v>80</v>
      </c>
      <c r="E29" s="68">
        <f aca="true" t="shared" si="8" ref="E29:I30">E18+E25</f>
        <v>0</v>
      </c>
      <c r="F29" s="68">
        <f t="shared" si="8"/>
        <v>872900</v>
      </c>
      <c r="G29" s="68">
        <f t="shared" si="8"/>
        <v>30872900</v>
      </c>
      <c r="H29" s="68">
        <f t="shared" si="8"/>
        <v>42637900</v>
      </c>
      <c r="I29" s="68">
        <f t="shared" si="8"/>
        <v>42637.9</v>
      </c>
      <c r="J29" s="48">
        <f>J18+J25-J5</f>
        <v>70915.9</v>
      </c>
      <c r="K29" s="48">
        <f>K18+K25-K5</f>
        <v>161566.9</v>
      </c>
      <c r="L29" s="48">
        <f>L18+L25-L5</f>
        <v>110655.9</v>
      </c>
      <c r="M29" s="48">
        <f>M18+M25-M5</f>
        <v>96457.9</v>
      </c>
      <c r="N29" s="69" t="s">
        <v>80</v>
      </c>
      <c r="O29" s="70" t="s">
        <v>80</v>
      </c>
      <c r="P29" s="48">
        <f>SUM(P18+P25-P5)</f>
        <v>69201</v>
      </c>
      <c r="Q29" s="48"/>
      <c r="R29" s="48">
        <f>R18+R25-R5</f>
        <v>159243.691</v>
      </c>
      <c r="S29" s="48">
        <f aca="true" t="shared" si="9" ref="S29:AD29">S18+S25</f>
        <v>107040.691</v>
      </c>
      <c r="T29" s="48">
        <f t="shared" si="9"/>
        <v>103467.35900000001</v>
      </c>
      <c r="U29" s="48">
        <f t="shared" si="9"/>
        <v>125813.35900000001</v>
      </c>
      <c r="V29" s="48">
        <f t="shared" si="9"/>
        <v>102833.35900000001</v>
      </c>
      <c r="W29" s="48">
        <f t="shared" si="9"/>
        <v>110811.35900000001</v>
      </c>
      <c r="X29" s="48">
        <f t="shared" si="9"/>
        <v>110811.35900000001</v>
      </c>
      <c r="Y29" s="48">
        <f t="shared" si="9"/>
        <v>110806.35900000001</v>
      </c>
      <c r="Z29" s="48">
        <f t="shared" si="9"/>
        <v>99046.35900000001</v>
      </c>
      <c r="AA29" s="48">
        <f t="shared" si="9"/>
        <v>98921.91900000001</v>
      </c>
      <c r="AB29" s="48">
        <f t="shared" si="9"/>
        <v>81270.668</v>
      </c>
      <c r="AC29" s="48">
        <f t="shared" si="9"/>
        <v>81270.668</v>
      </c>
      <c r="AD29" s="48">
        <f t="shared" si="9"/>
        <v>81270.668</v>
      </c>
      <c r="AE29" s="42" t="s">
        <v>80</v>
      </c>
    </row>
    <row r="30" spans="1:31" ht="15" customHeight="1" hidden="1">
      <c r="A30" s="49" t="s">
        <v>94</v>
      </c>
      <c r="B30" s="50"/>
      <c r="C30" s="51"/>
      <c r="D30" s="65"/>
      <c r="E30" s="68">
        <f t="shared" si="8"/>
        <v>0</v>
      </c>
      <c r="F30" s="68">
        <f t="shared" si="8"/>
        <v>0</v>
      </c>
      <c r="G30" s="68">
        <f t="shared" si="8"/>
        <v>0</v>
      </c>
      <c r="H30" s="68">
        <f t="shared" si="8"/>
        <v>11765000</v>
      </c>
      <c r="I30" s="68">
        <f t="shared" si="8"/>
        <v>11765</v>
      </c>
      <c r="J30" s="52">
        <v>28856</v>
      </c>
      <c r="K30" s="52">
        <v>23539</v>
      </c>
      <c r="L30" s="52">
        <v>34000</v>
      </c>
      <c r="M30" s="52">
        <v>38314</v>
      </c>
      <c r="N30" s="65"/>
      <c r="O30" s="52"/>
      <c r="P30" s="52">
        <v>43000</v>
      </c>
      <c r="Q30" s="52"/>
      <c r="R30" s="52">
        <v>19220</v>
      </c>
      <c r="S30" s="52">
        <v>14843</v>
      </c>
      <c r="T30" s="52">
        <v>10495</v>
      </c>
      <c r="U30" s="52">
        <v>6148</v>
      </c>
      <c r="V30" s="52">
        <v>2926</v>
      </c>
      <c r="W30" s="52">
        <v>1579</v>
      </c>
      <c r="X30" s="52">
        <v>607</v>
      </c>
      <c r="Y30" s="52">
        <v>260</v>
      </c>
      <c r="Z30" s="52"/>
      <c r="AA30" s="52"/>
      <c r="AB30" s="52"/>
      <c r="AC30" s="52"/>
      <c r="AD30" s="52"/>
      <c r="AE30" s="53" t="s">
        <v>80</v>
      </c>
    </row>
    <row r="31" spans="1:31" ht="15" customHeight="1" hidden="1">
      <c r="A31" s="49" t="s">
        <v>95</v>
      </c>
      <c r="B31" s="50"/>
      <c r="C31" s="51"/>
      <c r="D31" s="65"/>
      <c r="E31" s="68">
        <f>E23+E28</f>
        <v>0</v>
      </c>
      <c r="F31" s="68">
        <f>F23+F28</f>
        <v>872900</v>
      </c>
      <c r="G31" s="68">
        <f>G23+G28</f>
        <v>872900</v>
      </c>
      <c r="H31" s="68">
        <f>H23+H28</f>
        <v>872900</v>
      </c>
      <c r="I31" s="68">
        <f>I23+I28</f>
        <v>872.9</v>
      </c>
      <c r="J31" s="52">
        <f>J29+J30</f>
        <v>99771.9</v>
      </c>
      <c r="K31" s="52">
        <f>K29+K30</f>
        <v>185105.9</v>
      </c>
      <c r="L31" s="52">
        <f>L29+L30</f>
        <v>144655.9</v>
      </c>
      <c r="M31" s="52">
        <f>M29+M30</f>
        <v>134771.9</v>
      </c>
      <c r="N31" s="65"/>
      <c r="O31" s="52"/>
      <c r="P31" s="52">
        <f>P29+P30</f>
        <v>112201</v>
      </c>
      <c r="Q31" s="52"/>
      <c r="R31" s="52">
        <f aca="true" t="shared" si="10" ref="R31:Y31">R29+R30</f>
        <v>178463.691</v>
      </c>
      <c r="S31" s="52">
        <f t="shared" si="10"/>
        <v>121883.691</v>
      </c>
      <c r="T31" s="52">
        <f t="shared" si="10"/>
        <v>113962.35900000001</v>
      </c>
      <c r="U31" s="52">
        <f t="shared" si="10"/>
        <v>131961.359</v>
      </c>
      <c r="V31" s="52">
        <f t="shared" si="10"/>
        <v>105759.35900000001</v>
      </c>
      <c r="W31" s="52">
        <f t="shared" si="10"/>
        <v>112390.35900000001</v>
      </c>
      <c r="X31" s="52">
        <f t="shared" si="10"/>
        <v>111418.35900000001</v>
      </c>
      <c r="Y31" s="52">
        <f t="shared" si="10"/>
        <v>111066.35900000001</v>
      </c>
      <c r="Z31" s="52"/>
      <c r="AA31" s="52"/>
      <c r="AB31" s="52"/>
      <c r="AC31" s="52"/>
      <c r="AD31" s="52"/>
      <c r="AE31" s="53" t="s">
        <v>80</v>
      </c>
    </row>
  </sheetData>
  <mergeCells count="2">
    <mergeCell ref="A28:C28"/>
    <mergeCell ref="A29:C29"/>
  </mergeCells>
  <printOptions/>
  <pageMargins left="0.3937007874015748" right="0.1968503937007874" top="0.7874015748031497" bottom="0.7874015748031497" header="0.37" footer="0.4"/>
  <pageSetup fitToHeight="1" fitToWidth="1" horizontalDpi="600" verticalDpi="600" orientation="landscape" paperSize="9" scale="77" r:id="rId2"/>
  <headerFooter alignWithMargins="0">
    <oddHeader>&amp;C&amp;"Arial CE,Tučné"&amp;14ZADLUŽENOST 
SMOL K 31. 12. 2013</oddHeader>
    <oddFooter>&amp;L&amp;8Ing. Jana Dokoupilová
ekonomický odbor
Datum:  &amp;D&amp;C103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6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3.375" style="0" customWidth="1"/>
    <col min="2" max="2" width="19.375" style="0" customWidth="1"/>
    <col min="3" max="3" width="20.375" style="0" customWidth="1"/>
    <col min="4" max="4" width="20.75390625" style="0" customWidth="1"/>
    <col min="5" max="5" width="20.00390625" style="0" customWidth="1"/>
    <col min="6" max="6" width="19.00390625" style="0" customWidth="1"/>
    <col min="7" max="7" width="17.875" style="0" customWidth="1"/>
  </cols>
  <sheetData>
    <row r="1" spans="1:7" ht="18" customHeight="1">
      <c r="A1" s="71" t="s">
        <v>39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 thickBot="1">
      <c r="A2" s="7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7" ht="24.75" customHeight="1" thickTop="1">
      <c r="A3" s="21" t="s">
        <v>40</v>
      </c>
      <c r="B3" s="4">
        <v>238090</v>
      </c>
      <c r="C3" s="4">
        <v>221774</v>
      </c>
      <c r="D3" s="4">
        <v>226868</v>
      </c>
      <c r="E3" s="4">
        <v>235095</v>
      </c>
      <c r="F3" s="4">
        <v>231227</v>
      </c>
      <c r="G3" s="4">
        <v>266313</v>
      </c>
    </row>
    <row r="4" spans="1:7" ht="29.25" customHeight="1">
      <c r="A4" s="21" t="s">
        <v>41</v>
      </c>
      <c r="B4" s="4">
        <v>81439</v>
      </c>
      <c r="C4" s="4">
        <v>27731</v>
      </c>
      <c r="D4" s="4">
        <v>57201</v>
      </c>
      <c r="E4" s="4">
        <v>28134</v>
      </c>
      <c r="F4" s="1">
        <v>14078</v>
      </c>
      <c r="G4" s="1">
        <v>27169</v>
      </c>
    </row>
    <row r="5" spans="1:7" ht="30.75" customHeight="1">
      <c r="A5" s="21" t="s">
        <v>42</v>
      </c>
      <c r="B5" s="4">
        <v>18886</v>
      </c>
      <c r="C5" s="4">
        <v>18206</v>
      </c>
      <c r="D5" s="4">
        <v>18295</v>
      </c>
      <c r="E5" s="4">
        <v>21286</v>
      </c>
      <c r="F5" s="1">
        <v>23713</v>
      </c>
      <c r="G5" s="1">
        <v>23793</v>
      </c>
    </row>
    <row r="6" spans="1:7" ht="24.75" customHeight="1">
      <c r="A6" s="21" t="s">
        <v>43</v>
      </c>
      <c r="B6" s="4">
        <v>331680</v>
      </c>
      <c r="C6" s="4">
        <v>227026</v>
      </c>
      <c r="D6" s="4">
        <v>222911</v>
      </c>
      <c r="E6" s="4">
        <v>207392</v>
      </c>
      <c r="F6" s="1">
        <v>230213</v>
      </c>
      <c r="G6" s="1">
        <v>228765</v>
      </c>
    </row>
    <row r="7" spans="1:7" ht="24.75" customHeight="1">
      <c r="A7" s="21" t="s">
        <v>44</v>
      </c>
      <c r="B7" s="4">
        <v>471807</v>
      </c>
      <c r="C7" s="4">
        <v>456780</v>
      </c>
      <c r="D7" s="4">
        <v>480827</v>
      </c>
      <c r="E7" s="4">
        <v>492369</v>
      </c>
      <c r="F7" s="1">
        <v>464828</v>
      </c>
      <c r="G7" s="1">
        <v>488626</v>
      </c>
    </row>
    <row r="8" spans="1:7" ht="24.75" customHeight="1">
      <c r="A8" s="21" t="s">
        <v>45</v>
      </c>
      <c r="B8" s="4">
        <v>51567</v>
      </c>
      <c r="C8" s="4">
        <v>51259</v>
      </c>
      <c r="D8" s="4">
        <v>148526</v>
      </c>
      <c r="E8" s="4">
        <v>72749</v>
      </c>
      <c r="F8" s="1">
        <v>77914</v>
      </c>
      <c r="G8" s="1">
        <v>77398</v>
      </c>
    </row>
    <row r="9" spans="1:7" ht="24.75" customHeight="1">
      <c r="A9" s="11" t="s">
        <v>11</v>
      </c>
      <c r="B9" s="14">
        <f aca="true" t="shared" si="0" ref="B9:G9">SUM(B3:B8)</f>
        <v>1193469</v>
      </c>
      <c r="C9" s="14">
        <f t="shared" si="0"/>
        <v>1002776</v>
      </c>
      <c r="D9" s="14">
        <f t="shared" si="0"/>
        <v>1154628</v>
      </c>
      <c r="E9" s="14">
        <f t="shared" si="0"/>
        <v>1057025</v>
      </c>
      <c r="F9" s="14">
        <f t="shared" si="0"/>
        <v>1041973</v>
      </c>
      <c r="G9" s="14">
        <f t="shared" si="0"/>
        <v>1112064</v>
      </c>
    </row>
    <row r="65" ht="12.75">
      <c r="A65" t="s">
        <v>47</v>
      </c>
    </row>
  </sheetData>
  <sheetProtection/>
  <mergeCells count="1">
    <mergeCell ref="A1:A2"/>
  </mergeCells>
  <printOptions/>
  <pageMargins left="0.86" right="0.1968503937007874" top="1.21" bottom="0.69" header="0.69" footer="0.31496062992125984"/>
  <pageSetup horizontalDpi="600" verticalDpi="600" orientation="landscape" paperSize="9" scale="80" r:id="rId2"/>
  <headerFooter alignWithMargins="0">
    <oddHeader>&amp;LSTATUTÁRNÍ MĚSTO OLOMOUC&amp;C&amp;"Arial CE,Tučné"&amp;12VÝVOJ PLNĚNÍ DANÍ
     2008 - 2013&amp;Rv tis. Kč</oddHeader>
    <oddFooter>&amp;C93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52.625" style="0" customWidth="1"/>
    <col min="2" max="2" width="17.375" style="0" customWidth="1"/>
    <col min="3" max="3" width="17.875" style="0" customWidth="1"/>
    <col min="4" max="4" width="17.75390625" style="0" customWidth="1"/>
    <col min="5" max="6" width="18.25390625" style="0" customWidth="1"/>
    <col min="7" max="7" width="17.625" style="0" customWidth="1"/>
  </cols>
  <sheetData>
    <row r="1" spans="1:7" ht="18" customHeight="1">
      <c r="A1" s="71" t="s">
        <v>18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 thickBot="1">
      <c r="A2" s="7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7" ht="35.25" customHeight="1" thickTop="1">
      <c r="A3" s="7" t="s">
        <v>15</v>
      </c>
      <c r="B3" s="4">
        <v>328559</v>
      </c>
      <c r="C3" s="4">
        <v>334000</v>
      </c>
      <c r="D3" s="4">
        <v>350500</v>
      </c>
      <c r="E3" s="4">
        <f>139787+278968</f>
        <v>418755</v>
      </c>
      <c r="F3" s="4">
        <f>103286+330060</f>
        <v>433346</v>
      </c>
      <c r="G3" s="4">
        <f>62599+388279</f>
        <v>450878</v>
      </c>
    </row>
    <row r="4" spans="1:7" ht="24.75" customHeight="1">
      <c r="A4" s="13" t="s">
        <v>14</v>
      </c>
      <c r="B4" s="14">
        <f aca="true" t="shared" si="0" ref="B4:G4">B3</f>
        <v>328559</v>
      </c>
      <c r="C4" s="14">
        <f t="shared" si="0"/>
        <v>334000</v>
      </c>
      <c r="D4" s="14">
        <f t="shared" si="0"/>
        <v>350500</v>
      </c>
      <c r="E4" s="14">
        <f t="shared" si="0"/>
        <v>418755</v>
      </c>
      <c r="F4" s="14">
        <f t="shared" si="0"/>
        <v>433346</v>
      </c>
      <c r="G4" s="14">
        <f t="shared" si="0"/>
        <v>450878</v>
      </c>
    </row>
    <row r="67" ht="12.75">
      <c r="A67" t="s">
        <v>47</v>
      </c>
    </row>
  </sheetData>
  <sheetProtection/>
  <mergeCells count="1">
    <mergeCell ref="A1:A2"/>
  </mergeCells>
  <printOptions/>
  <pageMargins left="0.54" right="0.1968503937007874" top="1.32" bottom="0.7874015748031497" header="0.66" footer="0.31496062992125984"/>
  <pageSetup horizontalDpi="600" verticalDpi="600" orientation="landscape" paperSize="9" scale="85" r:id="rId2"/>
  <headerFooter alignWithMargins="0">
    <oddHeader>&amp;LSTATUTÁRNÍ MĚSTO OLOMOUC&amp;C&amp;"Arial CE,Tučné"&amp;12VÝVOJ HOSPODÁŘSKÉ ČINNOSTI
     2008 - 2013&amp;Rv tis. Kč</oddHeader>
    <oddFooter>&amp;C94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4"/>
  <sheetViews>
    <sheetView zoomScalePageLayoutView="0" workbookViewId="0" topLeftCell="A1">
      <selection activeCell="E72" sqref="E72"/>
    </sheetView>
  </sheetViews>
  <sheetFormatPr defaultColWidth="9.00390625" defaultRowHeight="12.75"/>
  <cols>
    <col min="1" max="1" width="44.625" style="0" customWidth="1"/>
    <col min="2" max="2" width="21.25390625" style="0" customWidth="1"/>
    <col min="3" max="3" width="21.75390625" style="0" customWidth="1"/>
    <col min="4" max="4" width="21.625" style="0" customWidth="1"/>
    <col min="5" max="5" width="21.875" style="0" customWidth="1"/>
    <col min="6" max="6" width="21.625" style="0" customWidth="1"/>
    <col min="7" max="7" width="17.75390625" style="0" customWidth="1"/>
  </cols>
  <sheetData>
    <row r="1" spans="1:7" ht="18" customHeight="1">
      <c r="A1" s="71" t="s">
        <v>19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 thickBot="1">
      <c r="A2" s="7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7" ht="35.25" customHeight="1" thickTop="1">
      <c r="A3" s="3" t="s">
        <v>12</v>
      </c>
      <c r="B3" s="4">
        <v>118586</v>
      </c>
      <c r="C3" s="4">
        <v>121750</v>
      </c>
      <c r="D3" s="4">
        <v>121866</v>
      </c>
      <c r="E3" s="4">
        <v>106216</v>
      </c>
      <c r="F3" s="4">
        <v>105177</v>
      </c>
      <c r="G3" s="4">
        <v>73286</v>
      </c>
    </row>
    <row r="4" spans="1:7" ht="24.75" customHeight="1">
      <c r="A4" s="13" t="s">
        <v>13</v>
      </c>
      <c r="B4" s="14">
        <f aca="true" t="shared" si="0" ref="B4:G4">B3</f>
        <v>118586</v>
      </c>
      <c r="C4" s="14">
        <f t="shared" si="0"/>
        <v>121750</v>
      </c>
      <c r="D4" s="14">
        <f t="shared" si="0"/>
        <v>121866</v>
      </c>
      <c r="E4" s="14">
        <f t="shared" si="0"/>
        <v>106216</v>
      </c>
      <c r="F4" s="14">
        <f t="shared" si="0"/>
        <v>105177</v>
      </c>
      <c r="G4" s="14">
        <f t="shared" si="0"/>
        <v>73286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1">
    <mergeCell ref="A1:A2"/>
  </mergeCells>
  <printOptions/>
  <pageMargins left="0.52" right="0.1968503937007874" top="1.32" bottom="0.7874015748031497" header="0.66" footer="0.31496062992125984"/>
  <pageSetup horizontalDpi="600" verticalDpi="600" orientation="landscape" paperSize="9" scale="80" r:id="rId2"/>
  <headerFooter alignWithMargins="0">
    <oddHeader>&amp;LSTATUTÁRNÍ MĚSTO OLOMOUC&amp;C&amp;"Arial CE,Tučné"&amp;12VÝVOJ GLOBÁLNÍ DOTACE
     2008 - 2013  &amp;Rv tis. Kč</oddHeader>
    <oddFooter>&amp;C95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zoomScalePageLayoutView="0" workbookViewId="0" topLeftCell="A1">
      <selection activeCell="J43" sqref="J43"/>
    </sheetView>
  </sheetViews>
  <sheetFormatPr defaultColWidth="9.00390625" defaultRowHeight="12.75"/>
  <cols>
    <col min="1" max="1" width="38.25390625" style="0" customWidth="1"/>
    <col min="2" max="2" width="21.75390625" style="0" customWidth="1"/>
    <col min="3" max="3" width="21.875" style="0" customWidth="1"/>
    <col min="4" max="4" width="22.00390625" style="0" customWidth="1"/>
    <col min="5" max="5" width="21.875" style="0" customWidth="1"/>
    <col min="6" max="6" width="22.00390625" style="0" customWidth="1"/>
    <col min="7" max="7" width="17.75390625" style="0" customWidth="1"/>
  </cols>
  <sheetData>
    <row r="1" spans="1:7" ht="18" customHeight="1">
      <c r="A1" s="71" t="s">
        <v>2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 thickBot="1">
      <c r="A2" s="7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7" ht="24.75" customHeight="1" thickTop="1">
      <c r="A3" s="2" t="s">
        <v>20</v>
      </c>
      <c r="B3" s="1">
        <f>1701277-233022</f>
        <v>1468255</v>
      </c>
      <c r="C3" s="1">
        <f>1886519-245384</f>
        <v>1641135</v>
      </c>
      <c r="D3" s="1">
        <f>1922958-267014</f>
        <v>1655944</v>
      </c>
      <c r="E3" s="1">
        <v>1636604</v>
      </c>
      <c r="F3" s="57">
        <v>1705133</v>
      </c>
      <c r="G3" s="57">
        <v>1697854</v>
      </c>
    </row>
    <row r="66" ht="12.75">
      <c r="A66" t="s">
        <v>47</v>
      </c>
    </row>
  </sheetData>
  <sheetProtection/>
  <mergeCells count="1">
    <mergeCell ref="A1:A2"/>
  </mergeCells>
  <printOptions/>
  <pageMargins left="0.66" right="0.1968503937007874" top="1.32" bottom="1.41" header="0.66" footer="0.31496062992125984"/>
  <pageSetup horizontalDpi="600" verticalDpi="600" orientation="landscape" paperSize="9" scale="80" r:id="rId2"/>
  <headerFooter alignWithMargins="0">
    <oddHeader>&amp;LSTATUTÁRNÍ MĚSTO OLOMOUC&amp;C&amp;"Arial CE,Tučné"&amp;12VÝVOJ PROVOZNÍCH NÁKLADŮ
     2008 - 2013  &amp;Rv tis. Kč</oddHeader>
    <oddFooter>&amp;C96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G63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41.125" style="0" customWidth="1"/>
    <col min="2" max="3" width="21.375" style="0" customWidth="1"/>
    <col min="4" max="5" width="21.125" style="0" customWidth="1"/>
    <col min="6" max="6" width="21.75390625" style="0" customWidth="1"/>
    <col min="7" max="7" width="20.375" style="0" customWidth="1"/>
  </cols>
  <sheetData>
    <row r="1" spans="1:7" ht="18" customHeight="1">
      <c r="A1" s="71" t="s">
        <v>21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 thickBot="1">
      <c r="A2" s="7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7" ht="24.75" customHeight="1" thickTop="1">
      <c r="A3" s="3" t="s">
        <v>50</v>
      </c>
      <c r="B3" s="4">
        <v>267256</v>
      </c>
      <c r="C3" s="4">
        <v>284338</v>
      </c>
      <c r="D3" s="4">
        <v>318786</v>
      </c>
      <c r="E3" s="4">
        <v>295481</v>
      </c>
      <c r="F3" s="4">
        <v>294218</v>
      </c>
      <c r="G3" s="4">
        <v>309081</v>
      </c>
    </row>
    <row r="4" spans="1:7" ht="24.75" customHeight="1">
      <c r="A4" s="2" t="s">
        <v>0</v>
      </c>
      <c r="B4" s="1">
        <v>40968</v>
      </c>
      <c r="C4" s="1">
        <v>40696</v>
      </c>
      <c r="D4" s="1">
        <v>49200</v>
      </c>
      <c r="E4" s="1">
        <v>50421</v>
      </c>
      <c r="F4" s="1">
        <v>51168</v>
      </c>
      <c r="G4" s="1">
        <v>52200</v>
      </c>
    </row>
    <row r="5" spans="1:7" ht="24.75" customHeight="1">
      <c r="A5" s="13" t="s">
        <v>1</v>
      </c>
      <c r="B5" s="14">
        <f aca="true" t="shared" si="0" ref="B5:G5">B3+B4</f>
        <v>308224</v>
      </c>
      <c r="C5" s="14">
        <f t="shared" si="0"/>
        <v>325034</v>
      </c>
      <c r="D5" s="14">
        <f t="shared" si="0"/>
        <v>367986</v>
      </c>
      <c r="E5" s="14">
        <f t="shared" si="0"/>
        <v>345902</v>
      </c>
      <c r="F5" s="14">
        <f t="shared" si="0"/>
        <v>345386</v>
      </c>
      <c r="G5" s="14">
        <f t="shared" si="0"/>
        <v>361281</v>
      </c>
    </row>
    <row r="63" ht="12.75">
      <c r="A63" t="s">
        <v>47</v>
      </c>
    </row>
  </sheetData>
  <sheetProtection/>
  <mergeCells count="1">
    <mergeCell ref="A1:A2"/>
  </mergeCells>
  <printOptions/>
  <pageMargins left="0.82" right="0.1968503937007874" top="1.32" bottom="0.7874015748031497" header="0.66" footer="0.31496062992125984"/>
  <pageSetup horizontalDpi="600" verticalDpi="600" orientation="landscape" paperSize="9" scale="75" r:id="rId2"/>
  <headerFooter alignWithMargins="0">
    <oddHeader>&amp;LSTATUTÁRNÍ MĚSTO OLOMOUC&amp;C&amp;"Arial CE,Tučné"&amp;12VÝVOJ MZDOVÝCH NÁKLADŮ
     2008 - 2013   &amp;Rv tis. Kč</oddHeader>
    <oddFooter>&amp;C97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0.75390625" style="0" customWidth="1"/>
    <col min="2" max="2" width="21.125" style="0" customWidth="1"/>
    <col min="3" max="3" width="21.625" style="0" customWidth="1"/>
    <col min="4" max="4" width="21.25390625" style="0" customWidth="1"/>
    <col min="5" max="5" width="20.375" style="0" customWidth="1"/>
    <col min="6" max="6" width="21.25390625" style="0" customWidth="1"/>
    <col min="7" max="7" width="20.875" style="0" customWidth="1"/>
  </cols>
  <sheetData>
    <row r="1" spans="1:7" ht="18" customHeight="1">
      <c r="A1" s="71" t="s">
        <v>4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 thickBot="1">
      <c r="A2" s="7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7" ht="24.75" customHeight="1" thickTop="1">
      <c r="A3" s="5" t="s">
        <v>5</v>
      </c>
      <c r="B3" s="4">
        <v>248591</v>
      </c>
      <c r="C3" s="4">
        <v>247912</v>
      </c>
      <c r="D3" s="4">
        <v>254747</v>
      </c>
      <c r="E3" s="4">
        <v>255190</v>
      </c>
      <c r="F3" s="4">
        <v>256143</v>
      </c>
      <c r="G3" s="4">
        <v>256648</v>
      </c>
    </row>
    <row r="4" spans="1:7" ht="24.75" customHeight="1">
      <c r="A4" s="6" t="s">
        <v>6</v>
      </c>
      <c r="B4" s="1">
        <v>176400</v>
      </c>
      <c r="C4" s="1">
        <v>194720</v>
      </c>
      <c r="D4" s="1">
        <v>179256</v>
      </c>
      <c r="E4" s="1">
        <v>181283</v>
      </c>
      <c r="F4" s="1">
        <v>198725</v>
      </c>
      <c r="G4" s="1">
        <f>SUM(G5:G7)</f>
        <v>188915</v>
      </c>
    </row>
    <row r="5" spans="1:7" ht="24.75" customHeight="1">
      <c r="A5" s="6" t="s">
        <v>8</v>
      </c>
      <c r="B5" s="1">
        <v>165000</v>
      </c>
      <c r="C5" s="1">
        <v>180000</v>
      </c>
      <c r="D5" s="1">
        <v>168011</v>
      </c>
      <c r="E5" s="1">
        <v>170000</v>
      </c>
      <c r="F5" s="1">
        <v>188401</v>
      </c>
      <c r="G5" s="1">
        <v>178930</v>
      </c>
    </row>
    <row r="6" spans="1:7" ht="24.75" customHeight="1">
      <c r="A6" s="6" t="s">
        <v>115</v>
      </c>
      <c r="B6" s="1">
        <v>11338</v>
      </c>
      <c r="C6" s="1">
        <v>10899</v>
      </c>
      <c r="D6" s="1">
        <v>10729</v>
      </c>
      <c r="E6" s="1">
        <v>10897</v>
      </c>
      <c r="F6" s="1">
        <v>9766</v>
      </c>
      <c r="G6" s="1">
        <v>9555</v>
      </c>
    </row>
    <row r="7" spans="1:7" ht="29.25" customHeight="1">
      <c r="A7" s="6" t="s">
        <v>16</v>
      </c>
      <c r="B7" s="1">
        <v>63</v>
      </c>
      <c r="C7" s="1">
        <v>3821</v>
      </c>
      <c r="D7" s="1">
        <v>517</v>
      </c>
      <c r="E7" s="1">
        <v>386</v>
      </c>
      <c r="F7" s="1">
        <v>558</v>
      </c>
      <c r="G7" s="1">
        <v>430</v>
      </c>
    </row>
    <row r="8" spans="1:7" ht="24.75" customHeight="1">
      <c r="A8" s="6" t="s">
        <v>10</v>
      </c>
      <c r="B8" s="1">
        <v>25500</v>
      </c>
      <c r="C8" s="1">
        <v>32258</v>
      </c>
      <c r="D8" s="1">
        <v>26759</v>
      </c>
      <c r="E8" s="1">
        <v>26759</v>
      </c>
      <c r="F8" s="1">
        <v>27304</v>
      </c>
      <c r="G8" s="1">
        <v>27189</v>
      </c>
    </row>
    <row r="9" spans="1:7" ht="24.75" customHeight="1">
      <c r="A9" s="6" t="s">
        <v>7</v>
      </c>
      <c r="B9" s="1">
        <v>16930</v>
      </c>
      <c r="C9" s="1">
        <v>17094</v>
      </c>
      <c r="D9" s="1">
        <v>16433</v>
      </c>
      <c r="E9" s="1">
        <v>16151</v>
      </c>
      <c r="F9" s="1">
        <v>16152</v>
      </c>
      <c r="G9" s="1">
        <v>15397</v>
      </c>
    </row>
    <row r="10" spans="1:7" ht="28.5" customHeight="1">
      <c r="A10" s="13" t="s">
        <v>9</v>
      </c>
      <c r="B10" s="14">
        <f aca="true" t="shared" si="0" ref="B10:G10">B3+B4+B8+B9</f>
        <v>467421</v>
      </c>
      <c r="C10" s="14">
        <f t="shared" si="0"/>
        <v>491984</v>
      </c>
      <c r="D10" s="14">
        <f t="shared" si="0"/>
        <v>477195</v>
      </c>
      <c r="E10" s="14">
        <f t="shared" si="0"/>
        <v>479383</v>
      </c>
      <c r="F10" s="14">
        <f t="shared" si="0"/>
        <v>498324</v>
      </c>
      <c r="G10" s="14">
        <f t="shared" si="0"/>
        <v>488149</v>
      </c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>
      <c r="A66" t="s">
        <v>47</v>
      </c>
    </row>
    <row r="67" ht="12.75" hidden="1"/>
  </sheetData>
  <sheetProtection/>
  <mergeCells count="1">
    <mergeCell ref="A1:A2"/>
  </mergeCells>
  <printOptions/>
  <pageMargins left="0.66" right="0.1968503937007874" top="1.15" bottom="0.49" header="0.57" footer="0.31496062992125984"/>
  <pageSetup horizontalDpi="600" verticalDpi="600" orientation="landscape" paperSize="9" scale="80" r:id="rId2"/>
  <headerFooter alignWithMargins="0">
    <oddHeader>&amp;LSTATUTÁRNÍ MĚSTO OLOMOUC&amp;C&amp;"Arial CE,Tučné"&amp;12VÝVOJ OBJEDNÁVEK VEŘEJNÝCH SLUŽEB DLE JEDNOTLIVÝCH SUBJEKTŮ
     2008 - 2013   &amp;Rv tis. Kč</oddHeader>
    <oddFooter>&amp;C98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G6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5.75390625" style="0" customWidth="1"/>
    <col min="2" max="2" width="21.875" style="0" customWidth="1"/>
    <col min="3" max="3" width="21.125" style="0" customWidth="1"/>
    <col min="4" max="4" width="21.375" style="0" customWidth="1"/>
    <col min="5" max="5" width="21.875" style="0" customWidth="1"/>
    <col min="6" max="6" width="22.00390625" style="0" customWidth="1"/>
    <col min="7" max="7" width="18.00390625" style="0" customWidth="1"/>
  </cols>
  <sheetData>
    <row r="1" spans="1:7" ht="18" customHeight="1">
      <c r="A1" s="71" t="s">
        <v>34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>
      <c r="A2" s="73"/>
      <c r="B2" s="15" t="s">
        <v>3</v>
      </c>
      <c r="C2" s="15" t="s">
        <v>3</v>
      </c>
      <c r="D2" s="15" t="s">
        <v>3</v>
      </c>
      <c r="E2" s="15" t="s">
        <v>3</v>
      </c>
      <c r="F2" s="11" t="s">
        <v>3</v>
      </c>
      <c r="G2" s="11" t="s">
        <v>3</v>
      </c>
    </row>
    <row r="3" spans="1:7" ht="29.25" customHeight="1">
      <c r="A3" s="16" t="s">
        <v>35</v>
      </c>
      <c r="B3" s="17">
        <v>18899</v>
      </c>
      <c r="C3" s="17">
        <v>20920</v>
      </c>
      <c r="D3" s="17">
        <v>18237</v>
      </c>
      <c r="E3" s="17">
        <v>22627</v>
      </c>
      <c r="F3" s="19">
        <v>40330</v>
      </c>
      <c r="G3" s="19">
        <f>31425+1678+12+224</f>
        <v>33339</v>
      </c>
    </row>
    <row r="4" spans="1:7" ht="29.25" customHeight="1">
      <c r="A4" s="16" t="s">
        <v>36</v>
      </c>
      <c r="B4" s="17">
        <v>12077</v>
      </c>
      <c r="C4" s="17">
        <v>13588</v>
      </c>
      <c r="D4" s="17">
        <v>10426</v>
      </c>
      <c r="E4" s="17">
        <v>14014</v>
      </c>
      <c r="F4" s="17">
        <v>15853</v>
      </c>
      <c r="G4" s="17">
        <f>9380+3224+1675+18+154</f>
        <v>14451</v>
      </c>
    </row>
    <row r="5" spans="1:7" ht="24.75" customHeight="1">
      <c r="A5" s="20" t="s">
        <v>37</v>
      </c>
      <c r="B5" s="1">
        <v>8350</v>
      </c>
      <c r="C5" s="1">
        <v>10901</v>
      </c>
      <c r="D5" s="1">
        <v>10545</v>
      </c>
      <c r="E5" s="1">
        <v>11322</v>
      </c>
      <c r="F5" s="1">
        <v>17406</v>
      </c>
      <c r="G5" s="1">
        <v>18612</v>
      </c>
    </row>
    <row r="6" spans="1:7" ht="24.75" customHeight="1">
      <c r="A6" s="2" t="s">
        <v>117</v>
      </c>
      <c r="B6" s="1">
        <v>6777</v>
      </c>
      <c r="C6" s="1">
        <v>23695</v>
      </c>
      <c r="D6" s="1">
        <v>13332</v>
      </c>
      <c r="E6" s="1">
        <v>11851</v>
      </c>
      <c r="F6" s="1">
        <v>21224</v>
      </c>
      <c r="G6" s="1">
        <v>29863</v>
      </c>
    </row>
    <row r="7" spans="1:7" ht="24.75" customHeight="1">
      <c r="A7" s="13" t="s">
        <v>38</v>
      </c>
      <c r="B7" s="14">
        <f aca="true" t="shared" si="0" ref="B7:G7">B3+B4+B5+B6</f>
        <v>46103</v>
      </c>
      <c r="C7" s="14">
        <f t="shared" si="0"/>
        <v>69104</v>
      </c>
      <c r="D7" s="14">
        <f t="shared" si="0"/>
        <v>52540</v>
      </c>
      <c r="E7" s="14">
        <f t="shared" si="0"/>
        <v>59814</v>
      </c>
      <c r="F7" s="14">
        <f t="shared" si="0"/>
        <v>94813</v>
      </c>
      <c r="G7" s="14">
        <f t="shared" si="0"/>
        <v>96265</v>
      </c>
    </row>
    <row r="66" ht="12.75">
      <c r="A66" t="s">
        <v>47</v>
      </c>
    </row>
  </sheetData>
  <sheetProtection/>
  <mergeCells count="1">
    <mergeCell ref="A1:A2"/>
  </mergeCells>
  <printOptions/>
  <pageMargins left="0.81" right="0.1968503937007874" top="1.03" bottom="0.7874015748031497" header="0.55" footer="0.31496062992125984"/>
  <pageSetup horizontalDpi="600" verticalDpi="600" orientation="landscape" paperSize="9" scale="82" r:id="rId2"/>
  <headerFooter alignWithMargins="0">
    <oddHeader>&amp;LSTATUTÁRNÍ MĚSTO OLOMOUC&amp;C&amp;"Arial CE,Tučné"&amp;12VÝVOJ NEINVESTIČNÍCH VÝDAJŮ V OBLASTI TRANSFERŮ A GRANTŮ 
2008 - 2013   &amp;Rv tis. Kč</oddHeader>
    <oddFooter>&amp;C99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29.125" style="0" customWidth="1"/>
    <col min="2" max="2" width="17.00390625" style="0" customWidth="1"/>
    <col min="3" max="3" width="16.625" style="0" customWidth="1"/>
    <col min="4" max="4" width="17.25390625" style="0" customWidth="1"/>
    <col min="5" max="5" width="15.625" style="0" customWidth="1"/>
    <col min="6" max="6" width="16.75390625" style="0" customWidth="1"/>
    <col min="7" max="7" width="18.375" style="0" customWidth="1"/>
  </cols>
  <sheetData>
    <row r="1" spans="1:7" ht="18" customHeight="1">
      <c r="A1" s="71" t="s">
        <v>4</v>
      </c>
      <c r="B1" s="11">
        <v>2008</v>
      </c>
      <c r="C1" s="11">
        <v>2009</v>
      </c>
      <c r="D1" s="11">
        <v>2010</v>
      </c>
      <c r="E1" s="11">
        <v>2011</v>
      </c>
      <c r="F1" s="11">
        <v>2012</v>
      </c>
      <c r="G1" s="11">
        <v>2013</v>
      </c>
    </row>
    <row r="2" spans="1:7" ht="29.25" customHeight="1" thickBot="1">
      <c r="A2" s="72"/>
      <c r="B2" s="12" t="s">
        <v>3</v>
      </c>
      <c r="C2" s="12" t="s">
        <v>3</v>
      </c>
      <c r="D2" s="12" t="s">
        <v>3</v>
      </c>
      <c r="E2" s="12" t="s">
        <v>3</v>
      </c>
      <c r="F2" s="12" t="s">
        <v>3</v>
      </c>
      <c r="G2" s="54" t="s">
        <v>114</v>
      </c>
    </row>
    <row r="3" spans="1:7" ht="29.25" customHeight="1" thickTop="1">
      <c r="A3" s="3" t="s">
        <v>125</v>
      </c>
      <c r="B3" s="4">
        <v>14420</v>
      </c>
      <c r="C3" s="4">
        <v>15266</v>
      </c>
      <c r="D3" s="4">
        <v>18752</v>
      </c>
      <c r="E3" s="4">
        <f>17137+1200</f>
        <v>18337</v>
      </c>
      <c r="F3" s="4">
        <f>18715+1300</f>
        <v>20015</v>
      </c>
      <c r="G3" s="55">
        <f>19917+1300</f>
        <v>21217</v>
      </c>
    </row>
    <row r="4" spans="1:7" ht="24.75" customHeight="1">
      <c r="A4" s="2" t="s">
        <v>46</v>
      </c>
      <c r="B4" s="1">
        <v>13700</v>
      </c>
      <c r="C4" s="1">
        <v>12061</v>
      </c>
      <c r="D4" s="1">
        <v>15134</v>
      </c>
      <c r="E4" s="1">
        <v>14097</v>
      </c>
      <c r="F4" s="1">
        <v>14000</v>
      </c>
      <c r="G4" s="56">
        <v>14000</v>
      </c>
    </row>
    <row r="5" spans="1:7" ht="24.75" customHeight="1">
      <c r="A5" s="2" t="s">
        <v>22</v>
      </c>
      <c r="B5" s="1">
        <v>0</v>
      </c>
      <c r="C5" s="1">
        <v>23920</v>
      </c>
      <c r="D5" s="1">
        <v>35880</v>
      </c>
      <c r="E5" s="1">
        <v>29900</v>
      </c>
      <c r="F5" s="1">
        <v>47200</v>
      </c>
      <c r="G5" s="56">
        <v>43000</v>
      </c>
    </row>
    <row r="6" spans="1:7" ht="24.75" customHeight="1">
      <c r="A6" s="13" t="s">
        <v>23</v>
      </c>
      <c r="B6" s="14">
        <f aca="true" t="shared" si="0" ref="B6:G6">B3+B4+B5</f>
        <v>28120</v>
      </c>
      <c r="C6" s="14">
        <f t="shared" si="0"/>
        <v>51247</v>
      </c>
      <c r="D6" s="14">
        <f t="shared" si="0"/>
        <v>69766</v>
      </c>
      <c r="E6" s="14">
        <f t="shared" si="0"/>
        <v>62334</v>
      </c>
      <c r="F6" s="14">
        <f t="shared" si="0"/>
        <v>81215</v>
      </c>
      <c r="G6" s="14">
        <f t="shared" si="0"/>
        <v>78217</v>
      </c>
    </row>
    <row r="67" ht="12.75">
      <c r="A67" t="s">
        <v>47</v>
      </c>
    </row>
  </sheetData>
  <sheetProtection/>
  <mergeCells count="1">
    <mergeCell ref="A1:A2"/>
  </mergeCells>
  <printOptions/>
  <pageMargins left="0.67" right="0.1968503937007874" top="1.02" bottom="0.7874015748031497" header="0.52" footer="0.31496062992125984"/>
  <pageSetup horizontalDpi="600" verticalDpi="600" orientation="landscape" paperSize="9" r:id="rId2"/>
  <headerFooter alignWithMargins="0">
    <oddHeader>&amp;LSTATUTÁRNÍ MĚSTO OLOMOUC&amp;C&amp;"Arial CE,Tučné"&amp;12VÝVOJ PROVOZNÍCH PŘÍSPĚVKŮ DLE SUBJEKTŮ 
2008 - 2013  &amp;Rv tis. Kč</oddHeader>
    <oddFooter>&amp;C100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2014-04-16T13:19:25Z</cp:lastPrinted>
  <dcterms:created xsi:type="dcterms:W3CDTF">2011-11-25T12:08:08Z</dcterms:created>
  <dcterms:modified xsi:type="dcterms:W3CDTF">2014-05-09T07:08:00Z</dcterms:modified>
  <cp:category/>
  <cp:version/>
  <cp:contentType/>
  <cp:contentStatus/>
</cp:coreProperties>
</file>