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3.xml" ContentType="application/vnd.openxmlformats-officedocument.drawing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drawings/drawing6.xml" ContentType="application/vnd.openxmlformats-officedocument.drawing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285" windowHeight="9405" tabRatio="598" activeTab="1"/>
  </bookViews>
  <sheets>
    <sheet name="Soupis" sheetId="1" r:id="rId1"/>
    <sheet name="Sumář P+V+F " sheetId="2" r:id="rId2"/>
    <sheet name="Plnění příjmů" sheetId="3" r:id="rId3"/>
    <sheet name=" Sumář OVS" sheetId="4" r:id="rId4"/>
    <sheet name="Sumář PO" sheetId="5" r:id="rId5"/>
    <sheet name="Financování" sheetId="6" r:id="rId6"/>
    <sheet name=" FRB klasika" sheetId="7" r:id="rId7"/>
    <sheet name=" FRB povodeň" sheetId="8" r:id="rId8"/>
    <sheet name="soc. fond" sheetId="9" r:id="rId9"/>
    <sheet name="přehled 1b" sheetId="10" r:id="rId10"/>
    <sheet name="obligace 1d" sheetId="11" r:id="rId11"/>
    <sheet name="MF ČR tab. 5" sheetId="12" r:id="rId12"/>
    <sheet name="Př.1a" sheetId="13" r:id="rId13"/>
    <sheet name="MF ČR příloha 9 část A " sheetId="14" r:id="rId14"/>
    <sheet name="MF ČR příl. 9 část A " sheetId="15" r:id="rId15"/>
    <sheet name="MK ČR příl. 9 část A  " sheetId="16" r:id="rId16"/>
    <sheet name="MPSV ČR" sheetId="17" r:id="rId17"/>
    <sheet name="MPO ČR" sheetId="18" r:id="rId18"/>
    <sheet name="MV ČR" sheetId="19" r:id="rId19"/>
    <sheet name="MZe ČR" sheetId="20" r:id="rId20"/>
    <sheet name="MŽP ČR" sheetId="21" r:id="rId21"/>
    <sheet name="MO ČR" sheetId="22" r:id="rId22"/>
    <sheet name="MK ČR" sheetId="23" r:id="rId23"/>
    <sheet name="MV ČR příloha 11 " sheetId="24" r:id="rId24"/>
    <sheet name="SFDI ČR" sheetId="25" r:id="rId25"/>
    <sheet name="MPO ČR příl. č.10" sheetId="26" r:id="rId26"/>
    <sheet name="MMR ČR" sheetId="27" r:id="rId27"/>
    <sheet name="SZIF ČR" sheetId="28" r:id="rId28"/>
    <sheet name="A stav. inv." sheetId="29" r:id="rId29"/>
    <sheet name="B - PD " sheetId="30" r:id="rId30"/>
    <sheet name="C - OEP  " sheetId="31" r:id="rId31"/>
    <sheet name="D - OKR " sheetId="32" r:id="rId32"/>
    <sheet name=" E -nest.inv." sheetId="33" r:id="rId33"/>
    <sheet name="F -příspěvky" sheetId="34" r:id="rId34"/>
    <sheet name="G - SNO" sheetId="35" r:id="rId35"/>
    <sheet name="H - MOVO" sheetId="36" r:id="rId36"/>
    <sheet name="Rekapitulace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Titles" localSheetId="3">' Sumář OVS'!$1:$1</definedName>
    <definedName name="_xlnm.Print_Titles" localSheetId="28">'A stav. inv.'!$1:$1</definedName>
    <definedName name="_xlnm.Print_Titles" localSheetId="29">'B - PD '!$1:$1</definedName>
    <definedName name="_xlnm.Print_Titles" localSheetId="2">'Plnění příjmů'!$1:$1</definedName>
    <definedName name="_xlnm.Print_Titles" localSheetId="36">'Rekapitulace'!$1:$1</definedName>
    <definedName name="_xlnm.Print_Area" localSheetId="32">' E -nest.inv.'!$A$1:$P$36</definedName>
    <definedName name="_xlnm.Print_Area" localSheetId="6">' FRB klasika'!$A$1:$G$23</definedName>
    <definedName name="_xlnm.Print_Area" localSheetId="7">' FRB povodeň'!$A$2:$G$20</definedName>
    <definedName name="_xlnm.Print_Area" localSheetId="3">' Sumář OVS'!$A$1:$N$67</definedName>
    <definedName name="_xlnm.Print_Area" localSheetId="28">'A stav. inv.'!$A$1:$O$97</definedName>
    <definedName name="_xlnm.Print_Area" localSheetId="29">'B - PD '!$A$1:$O$129</definedName>
    <definedName name="_xlnm.Print_Area" localSheetId="30">'C - OEP  '!$A$1:$O$24</definedName>
    <definedName name="_xlnm.Print_Area" localSheetId="31">'D - OKR '!$A$1:$O$18</definedName>
    <definedName name="_xlnm.Print_Area" localSheetId="33">'F -příspěvky'!$A$1:$N$31</definedName>
    <definedName name="_xlnm.Print_Area" localSheetId="34">'G - SNO'!$A$1:$N$6</definedName>
    <definedName name="_xlnm.Print_Area" localSheetId="35">'H - MOVO'!$A$1:$N$7</definedName>
    <definedName name="_xlnm.Print_Area" localSheetId="14">'MF ČR příl. 9 část A '!$A$1:$H$45</definedName>
    <definedName name="_xlnm.Print_Area" localSheetId="13">'MF ČR příloha 9 část A '!$A$1:$H$48</definedName>
    <definedName name="_xlnm.Print_Area" localSheetId="22">'MK ČR'!$A$1:$I$48</definedName>
    <definedName name="_xlnm.Print_Area" localSheetId="15">'MK ČR příl. 9 část A  '!$A$1:$H$48</definedName>
    <definedName name="_xlnm.Print_Area" localSheetId="26">'MMR ČR'!$A$1:$G$40</definedName>
    <definedName name="_xlnm.Print_Area" localSheetId="21">'MO ČR'!$A$1:$I$48</definedName>
    <definedName name="_xlnm.Print_Area" localSheetId="17">'MPO ČR'!$A$1:$H$48</definedName>
    <definedName name="_xlnm.Print_Area" localSheetId="25">'MPO ČR příl. č.10'!$A$1:$H$48</definedName>
    <definedName name="_xlnm.Print_Area" localSheetId="18">'MV ČR'!$A$1:$H$48</definedName>
    <definedName name="_xlnm.Print_Area" localSheetId="23">'MV ČR příloha 11 '!$A$1:$I$48</definedName>
    <definedName name="_xlnm.Print_Area" localSheetId="19">'MZe ČR'!$A$1:$H$48</definedName>
    <definedName name="_xlnm.Print_Area" localSheetId="20">'MŽP ČR'!$A$1:$H$48</definedName>
    <definedName name="_xlnm.Print_Area" localSheetId="10">'obligace 1d'!$A$1:$H$32</definedName>
    <definedName name="_xlnm.Print_Area" localSheetId="2">'Plnění příjmů'!$A$1:$G$160</definedName>
    <definedName name="_xlnm.Print_Area" localSheetId="12">'Př.1a'!$A$1:$E$75</definedName>
    <definedName name="_xlnm.Print_Area" localSheetId="9">'přehled 1b'!$A$1:$G$32</definedName>
    <definedName name="_xlnm.Print_Area" localSheetId="36">'Rekapitulace'!$A$1:$S$11</definedName>
    <definedName name="_xlnm.Print_Area" localSheetId="24">'SFDI ČR'!$A$1:$I$48</definedName>
    <definedName name="_xlnm.Print_Area" localSheetId="8">'soc. fond'!$A$1:$E$34</definedName>
    <definedName name="_xlnm.Print_Area" localSheetId="1">'Sumář P+V+F '!$A$1:$H$53</definedName>
    <definedName name="_xlnm.Print_Area" localSheetId="4">'Sumář PO'!$A$1:$K$9</definedName>
    <definedName name="_xlnm.Print_Area" localSheetId="27">'SZIF ČR'!$A$1:$G$42</definedName>
    <definedName name="Odložené_zahájení" localSheetId="3">#REF!</definedName>
    <definedName name="Odložené_zahájení" localSheetId="2">#REF!</definedName>
    <definedName name="Odložené_zahájení" localSheetId="4">#REF!</definedName>
    <definedName name="Odložené_zahájení">#REF!</definedName>
    <definedName name="Rozestavěné_stavby" localSheetId="3">#REF!</definedName>
    <definedName name="Rozestavěné_stavby" localSheetId="2">#REF!</definedName>
    <definedName name="Rozestavěné_stavby" localSheetId="4">#REF!</definedName>
    <definedName name="Rozestavěné_stavby">#REF!</definedName>
    <definedName name="Soupis98" localSheetId="3">#REF!</definedName>
    <definedName name="Soupis98" localSheetId="2">#REF!</definedName>
    <definedName name="Soupis98" localSheetId="4">#REF!</definedName>
    <definedName name="Soupis98">#REF!</definedName>
    <definedName name="Sumář99_Dotaz_plán99" localSheetId="3">#REF!</definedName>
    <definedName name="Sumář99_Dotaz_plán99" localSheetId="2">#REF!</definedName>
    <definedName name="Sumář99_Dotaz_plán99" localSheetId="4">#REF!</definedName>
    <definedName name="Sumář99_Dotaz_plán99">#REF!</definedName>
    <definedName name="Sumář99_Dotaz98" localSheetId="3">#REF!</definedName>
    <definedName name="Sumář99_Dotaz98" localSheetId="2">#REF!</definedName>
    <definedName name="Sumář99_Dotaz98" localSheetId="4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<sst xmlns="http://schemas.openxmlformats.org/spreadsheetml/2006/main" count="2403" uniqueCount="1165">
  <si>
    <t>Upravený rozpočet                      k 31.12.2009                                            v Kč</t>
  </si>
  <si>
    <t>Čerpání                      k 31.12.2009                        v Kč</t>
  </si>
  <si>
    <t>Upravený rozpočet                        k 31.12. 2009</t>
  </si>
  <si>
    <t>Čerpání                  k 31.12.2009                       v Kč</t>
  </si>
  <si>
    <t>Upravený rozpočet              k 31.12.2009                                   v Kč</t>
  </si>
  <si>
    <t>Čerpání                      k 31.12.2009               v Kč</t>
  </si>
  <si>
    <t>Upravený rozpočet                     k 31.12.2009                          v Kč</t>
  </si>
  <si>
    <t>Čerpání                  k 31.12.2009                             v Kč</t>
  </si>
  <si>
    <t>Čerpání                                                      k 31.12.2009</t>
  </si>
  <si>
    <r>
      <t>5163-</t>
    </r>
    <r>
      <rPr>
        <sz val="8"/>
        <rFont val="Arial"/>
        <family val="2"/>
      </rPr>
      <t>služby peněžních ústavů</t>
    </r>
  </si>
  <si>
    <r>
      <t>5660-</t>
    </r>
    <r>
      <rPr>
        <sz val="8"/>
        <rFont val="Arial"/>
        <family val="2"/>
      </rPr>
      <t xml:space="preserve">neinv. půjčené prostř. obyvatelstvu </t>
    </r>
  </si>
  <si>
    <r>
      <t>5624</t>
    </r>
    <r>
      <rPr>
        <sz val="8"/>
        <rFont val="Arial"/>
        <family val="2"/>
      </rPr>
      <t>-neinv. půjč. prostř. spol. vlastníků jednotek</t>
    </r>
  </si>
  <si>
    <t>Schválený rozpočet             na rok 2009</t>
  </si>
  <si>
    <t>zdroje FRB celkem</t>
  </si>
  <si>
    <r>
      <t>6171-</t>
    </r>
    <r>
      <rPr>
        <sz val="8"/>
        <rFont val="Arial"/>
        <family val="2"/>
      </rPr>
      <t>činnost místni správy</t>
    </r>
  </si>
  <si>
    <r>
      <t>5901-</t>
    </r>
    <r>
      <rPr>
        <sz val="8"/>
        <rFont val="Arial"/>
        <family val="2"/>
      </rPr>
      <t>nespecifikované rezervy</t>
    </r>
  </si>
  <si>
    <t>Schválený rozpočet 2009</t>
  </si>
  <si>
    <t>Čerpání                        k   31.12.2009</t>
  </si>
  <si>
    <t>Výdaje fondů a účtů nerozpočtovaných</t>
  </si>
  <si>
    <t>Sociální fond</t>
  </si>
  <si>
    <t>5136 - knihy, učební pomůcky, tisk</t>
  </si>
  <si>
    <t>5139 - nákup materiálu j. n.</t>
  </si>
  <si>
    <t>5163 - služby peněžních ústavů</t>
  </si>
  <si>
    <t>poplatky</t>
  </si>
  <si>
    <t>5169 - nákup ostatních služeb</t>
  </si>
  <si>
    <t>vstupenky, zájezdy, přísp. na stravné</t>
  </si>
  <si>
    <t>5175 - pohoštění</t>
  </si>
  <si>
    <t>5194 - věcné dary</t>
  </si>
  <si>
    <t>5499 - ostatní neinv. transfery obyv.</t>
  </si>
  <si>
    <t>v tom příspěvek zaměstnancům na penzijní pojištění</t>
  </si>
  <si>
    <t>5660 - neinv. půjčky obyvatelstvu</t>
  </si>
  <si>
    <t>Sociální fond Městské policie</t>
  </si>
  <si>
    <t>5134 - prádlo, oděv a obuv</t>
  </si>
  <si>
    <t>5137 - DHDM</t>
  </si>
  <si>
    <t>5164 - nájemné</t>
  </si>
  <si>
    <t>příspěvek na stravné</t>
  </si>
  <si>
    <t>5173 - cestovné</t>
  </si>
  <si>
    <t>Fond rezerv a rozvoje</t>
  </si>
  <si>
    <t>Celkem  fondy</t>
  </si>
  <si>
    <t xml:space="preserve">  </t>
  </si>
  <si>
    <t>ÚZ 10515796 - OI č.ú. 35-6662830297/0100</t>
  </si>
  <si>
    <t>ÚZ 10190102 - OI č.ú. 35-6662830297/0101</t>
  </si>
  <si>
    <t>Pasteurova - přechod pro chodce</t>
  </si>
  <si>
    <t>Přemístění zastávkových panelů MHD</t>
  </si>
  <si>
    <t>Poděbrady, Chomoutov lávka</t>
  </si>
  <si>
    <t>Dotace pro SDH obcí</t>
  </si>
  <si>
    <t>Program prevence kriminality na r. 2009</t>
  </si>
  <si>
    <t>Ministerstvo zemědělství ČR</t>
  </si>
  <si>
    <t>Výsadba melioračních a zpevňujících dřevin</t>
  </si>
  <si>
    <t>Odborný lesní hospodář</t>
  </si>
  <si>
    <t>Lesní hospodářské osnovy</t>
  </si>
  <si>
    <t xml:space="preserve">výdaje účelových fondů (FRB,                    soc. fondy, FRR) </t>
  </si>
  <si>
    <t>vrácená DPH</t>
  </si>
  <si>
    <t>ČÁST A:</t>
  </si>
  <si>
    <t>ČÁST B:</t>
  </si>
  <si>
    <t>Obnova mobiliáře a cestní sítě v olomouckých historických sadech - Smetanovy sady</t>
  </si>
  <si>
    <t xml:space="preserve">Olomouc - komunikace Pražská - Křelovská </t>
  </si>
  <si>
    <t>Plavecký stadion - rekonstrukce venkovního areálu</t>
  </si>
  <si>
    <t>Plavecký stadion - energetická opatření</t>
  </si>
  <si>
    <t>Poděbrady - Chomoutov - lávka</t>
  </si>
  <si>
    <t>Požárníků - dopravní řešení</t>
  </si>
  <si>
    <t>Protipovodňová opatření - etapa II.B</t>
  </si>
  <si>
    <t>Protipovodňová opatření na Nemilance</t>
  </si>
  <si>
    <t>24759</t>
  </si>
  <si>
    <t>Přeložka sběrače C</t>
  </si>
  <si>
    <t>Přemístění zastávkových panelů  MHD</t>
  </si>
  <si>
    <t>Radnice - vrátnice - bezbariérový vstup</t>
  </si>
  <si>
    <t>ÚZ 97572</t>
  </si>
  <si>
    <t>Paragraf</t>
  </si>
  <si>
    <t>40 - odbor životního prostředí</t>
  </si>
  <si>
    <t>42 - odbor ochrany</t>
  </si>
  <si>
    <t>13 - odbor informatiky</t>
  </si>
  <si>
    <t xml:space="preserve">14 - odbor školství              </t>
  </si>
  <si>
    <t>15 - odbor sociální pomoci</t>
  </si>
  <si>
    <t>20 - Městská policie</t>
  </si>
  <si>
    <t>30 - odbor památkové péče</t>
  </si>
  <si>
    <t xml:space="preserve">Okružní, směr město - zastávka MHD </t>
  </si>
  <si>
    <t xml:space="preserve">real. odbor investic - v tom 48 200 tis. Kč odvody nájemného MOVO, a. s. </t>
  </si>
  <si>
    <t xml:space="preserve"> a 5 tis. Kč VAPE, s. r. o pro Domov pro ženy a matky s dětmi</t>
  </si>
  <si>
    <t>přijaté pojistné náhrady</t>
  </si>
  <si>
    <t>přijaté nekapitálové příspěvky a náhrady</t>
  </si>
  <si>
    <t>vymožené výživné</t>
  </si>
  <si>
    <t>platby Vojenské policie ČR za dopravu pracovníků MHD</t>
  </si>
  <si>
    <t>tržby IDOS od obcí a obchodních center dle smluv</t>
  </si>
  <si>
    <t>Celkem odbor vn. vztahů a inf.</t>
  </si>
  <si>
    <t>udržování  mobiliáře v přednádražním prostoru</t>
  </si>
  <si>
    <t>Přichystalova - rekonstrukce komunikace - obratiště autobusů</t>
  </si>
  <si>
    <t>C - ostatní nákup dlouhodobého nehmotného majetku - odbor evropských projektů</t>
  </si>
  <si>
    <t>D - ostatní nákup dlouhodobého nehmotného majetku - odbor koncepce a rozvoje</t>
  </si>
  <si>
    <t>G - realizuje SNO, a. s.</t>
  </si>
  <si>
    <t>H - realizuje MOVO, a. s.</t>
  </si>
  <si>
    <t>Slavonín - dětské hřiště</t>
  </si>
  <si>
    <t>Topolany - dětské hřiště</t>
  </si>
  <si>
    <r>
      <t>ÚZ 60995816</t>
    </r>
    <r>
      <rPr>
        <sz val="10"/>
        <rFont val="Arial"/>
        <family val="2"/>
      </rPr>
      <t xml:space="preserve"> - realizuje odbor investic</t>
    </r>
  </si>
  <si>
    <t>Dělnická - VO</t>
  </si>
  <si>
    <t>Emy Destinové - VO</t>
  </si>
  <si>
    <t>Kmochova  - VO</t>
  </si>
  <si>
    <t>Čerpání                  k 3.11.2009                       v Kč</t>
  </si>
  <si>
    <t xml:space="preserve">MŠ Helsinská - plošina pro manipulaci </t>
  </si>
  <si>
    <t>Pozitivní diváctví a bezpečná Olomouc - SK Sigma Olomouc - kamerový systém</t>
  </si>
  <si>
    <t>Schválený rozpočet                     2009</t>
  </si>
  <si>
    <t xml:space="preserve">SNO, a. s. 14.400.000,-- Kč; MMOl 29.237.137,-- Kč; MOVO, a. s. 14.208.000,-- Kč;  OLTERM &amp; TD, a. s. </t>
  </si>
  <si>
    <t xml:space="preserve">SNO, a. s. 57.600.000,-- Kč; MMOl 118.210.548,02 Kč; MOVO, a. s. 56.830.000,-- Kč; OLTERM &amp; TD, a. s. </t>
  </si>
  <si>
    <r>
      <t xml:space="preserve">skutečnost: </t>
    </r>
    <r>
      <rPr>
        <sz val="8"/>
        <rFont val="Arial Narrow"/>
        <family val="2"/>
      </rPr>
      <t xml:space="preserve">SNO, a. s. 57.600.000,-- Kč; MMOl 155.869.863,-- Kč; MOVO, a. s. 56.830.000,-- Kč; OLTERM &amp; TD, a. s. </t>
    </r>
  </si>
  <si>
    <t>péče o vzhled obcí a veřejnou zeleň</t>
  </si>
  <si>
    <t>pasport VZ</t>
  </si>
  <si>
    <t>org. 1057</t>
  </si>
  <si>
    <t>správa a údržba areálu Chválkovice</t>
  </si>
  <si>
    <t>Celkem odbor životního prostředí</t>
  </si>
  <si>
    <t>41 - odbor majetkoprávní</t>
  </si>
  <si>
    <t>správa, provoz a údržba Arionovy kašny</t>
  </si>
  <si>
    <t>org. 1056 - 252 tis. běžný provoz</t>
  </si>
  <si>
    <t>údržba a provozování památek</t>
  </si>
  <si>
    <t xml:space="preserve">org. 1056 - 24 tis. Památník bojovníků za svobodu a demokracii,                              </t>
  </si>
  <si>
    <t>290 tis. Michalské schody</t>
  </si>
  <si>
    <t>SNO, a. s.</t>
  </si>
  <si>
    <t>obstarávání správy nemovitostí</t>
  </si>
  <si>
    <t>org. 1670</t>
  </si>
  <si>
    <t>provozování fontány a pítek v přednádražním prostoru</t>
  </si>
  <si>
    <t>správa a provoz pítka - P. Malého prince</t>
  </si>
  <si>
    <t>údržba vod.ploch-rybník Tabulák+kašna Jalta</t>
  </si>
  <si>
    <t xml:space="preserve">org. 10562  </t>
  </si>
  <si>
    <t>údržba povodňové mříže na Nemilance</t>
  </si>
  <si>
    <t xml:space="preserve">org. 10563 </t>
  </si>
  <si>
    <t>údržba odvodňovacího koryta Povelská</t>
  </si>
  <si>
    <t xml:space="preserve">org. 10564  </t>
  </si>
  <si>
    <t>Celkem odbor majetkoprávní</t>
  </si>
  <si>
    <t xml:space="preserve">org. 1056: protipovodňová opatření - údržba koryta Nemilanka       </t>
  </si>
  <si>
    <t xml:space="preserve">v Povelské ul. 26 tis., údržba koryta a přilehlých ploch  </t>
  </si>
  <si>
    <t xml:space="preserve">na ul. Zolova, údržba koryta Adamovka v kat. území Droždín -  </t>
  </si>
  <si>
    <t xml:space="preserve">Sv. Kopeček 25 tis., údržba vodočtů a zařízení CO 15 tis., údržba </t>
  </si>
  <si>
    <t xml:space="preserve">přečerpávací stanice Chomoutov 91 tis., údržba související </t>
  </si>
  <si>
    <t xml:space="preserve">dešťové kanalizace Chomoutov 90 tis. </t>
  </si>
  <si>
    <t>Celkem odbor ochrany</t>
  </si>
  <si>
    <t>Celkem objednávky veř. služeb dle odborů</t>
  </si>
  <si>
    <t>TSMO, a. s. celkem</t>
  </si>
  <si>
    <t>Dopravní obslužnost celkem</t>
  </si>
  <si>
    <t>Nerudova ul. - rekonstrukce komunikace</t>
  </si>
  <si>
    <t>Obnova mobiliáře a cestní sítě v olom. historických sadech - Smetanovy sady</t>
  </si>
  <si>
    <t xml:space="preserve">Okružní, směr centrum Haná - zastávka MHD </t>
  </si>
  <si>
    <t>navýšení: dotace MK ČR 745 tis. Kč na provoz Moravské filharmonie ÚZ 34352, dotace Olomouc. kraje 1.000 tis. Kč na projekt "Koncerty        v regionu" ÚZ 1, dotace Olomouc. kraje 950 tis. Kč ÚZ 212, zdroje města 933 tis. Kč, dotace Olomouckého kraje  334 tis. Kč ÚZ 200</t>
  </si>
  <si>
    <t>Pplk. Sochora, Droždín - dětské hřiště</t>
  </si>
  <si>
    <t>Přemysla Oráče - vodovod</t>
  </si>
  <si>
    <t>Radnice - klimatizace</t>
  </si>
  <si>
    <t>Raisova - rekonstrukce komunikace</t>
  </si>
  <si>
    <t>Restaurace Fontána - venkovní plochy</t>
  </si>
  <si>
    <t>Řepčín, park - dětské hřiště</t>
  </si>
  <si>
    <t>Slavonínská - chodník</t>
  </si>
  <si>
    <t>Schweitzerova - chodník, přechody</t>
  </si>
  <si>
    <t>Tererovo náměstí - evakuační centrum</t>
  </si>
  <si>
    <t>Ul. Farského - parkovací stání</t>
  </si>
  <si>
    <t>Ul. K Hájence - rekonstrukce komunikace a inženýrských sítí</t>
  </si>
  <si>
    <t>Ul. Na Chmelnici - parkovací stání</t>
  </si>
  <si>
    <t>Ul. U Staré Moravy - rekonstrukce komunikace a inženýrských sítí</t>
  </si>
  <si>
    <t>35 - odbor soc. služeb a zdravotnictví</t>
  </si>
  <si>
    <t>41 - majetkoprávní odbor</t>
  </si>
  <si>
    <t>44 - odbor evropských projektů</t>
  </si>
  <si>
    <t>Odbory celkem</t>
  </si>
  <si>
    <t>70 - příspěvkové organizace</t>
  </si>
  <si>
    <t>očekávané vratky st. dotací</t>
  </si>
  <si>
    <t>převody na depozitní účet</t>
  </si>
  <si>
    <t>Celkem provozní výdaje</t>
  </si>
  <si>
    <t>investice</t>
  </si>
  <si>
    <t>investiční akce EU - služby pen. ústavů</t>
  </si>
  <si>
    <t>Celkem investice</t>
  </si>
  <si>
    <t>CELKEM VÝDAJE  třídy 5 + třídy 6</t>
  </si>
  <si>
    <t>Třída 8 - financování</t>
  </si>
  <si>
    <t>krátkodobé přijaté půjčené prostředky</t>
  </si>
  <si>
    <t>dlouhodobé přijaté půjčené prostředky</t>
  </si>
  <si>
    <t xml:space="preserve">dlouhodobý úvěr od EIB </t>
  </si>
  <si>
    <t>uhrazené splátky krátkodobých přij. půjček</t>
  </si>
  <si>
    <t>splátka revolvingového úvěru u KB, a. s. za období 2008 - 2009</t>
  </si>
  <si>
    <t>uhrazené splátky dlouhodobých přij. půjček</t>
  </si>
  <si>
    <t xml:space="preserve">20 mil. Kč ČS, a. s.; 35 mil. Kč KB, a. s.; 873 tis. Kč MF ČR - kanal. Holice; 11.765 mil. Kč MOVO, a. s.; 3.820 mil. Kč SFŽP (rekult. skl. Grygov + Fond soudrž. ISPA); 25 mil. Kč Kommunalkredit Austria AG </t>
  </si>
  <si>
    <t>změna stavu prostředků na bank. účtech</t>
  </si>
  <si>
    <t>nerealizované kurzové rozdíly</t>
  </si>
  <si>
    <t>Neředínská, U Dvora, Letců - rekonstrukce komunikace a inženýrských sítí</t>
  </si>
  <si>
    <t>Průchodní ul. - rekonstrukce komunikace a inženýrských sítí</t>
  </si>
  <si>
    <t>Kateřinská 23 - rekonstrukce budovy</t>
  </si>
  <si>
    <t>Upravený rozpočet                                        k 31.12.2009</t>
  </si>
  <si>
    <t>Upravený rozpočet               k 31.12.2009</t>
  </si>
  <si>
    <t>Centrum sportu a zdraví - II. etapa - komunikace</t>
  </si>
  <si>
    <t xml:space="preserve">Hálkova 20 - stavební úpravy II. NP                                                                                    </t>
  </si>
  <si>
    <t>Horní Lán průchod - oplocení</t>
  </si>
  <si>
    <t>Jeremenkova - přednádražní prostor - IV. etapa</t>
  </si>
  <si>
    <t>Poznámka: v příjmech (HČ) zahrnut nájem ve výši 4,5 mil. Kč                + DPH (tj. 5.355 tis. Kč).                                                                    dotace Moravskoslezského kraje 64.758,- Kč na hospodaření             v lesích v r. 2009 ÚZ 327, dotace Olom. kraje 4.522.649,- Kč                                  na hospodaření v lesích ÚZ 00550, st. dotace MZe ČR 33.046,- Kč na činnost odborného lesního hospodáře ÚZ 29008</t>
  </si>
  <si>
    <t>sloupec 2 - uvádí se celkový objem dotace na výkon SPOD poskytnutý ze státního rozpočtu v roce 2009</t>
  </si>
  <si>
    <t>sloupec 3 - uvádí se celkový objem skutečných výdajů na výkon SPOD v roce 2009</t>
  </si>
  <si>
    <t>sloupec 4 - vyplňuje se, pokud příjemce provedl vratku dotace na výkon SPOD</t>
  </si>
  <si>
    <t>sloupec 5 - vyplňuje se, pokud příjemce uplatňuje požadavek na doplatek dotace na výkon SPOD</t>
  </si>
  <si>
    <t>Počet případů k 31.12.2009</t>
  </si>
  <si>
    <t>Počet pracovníků                      k 31.12.2009</t>
  </si>
  <si>
    <t>sloupec 1 - uvádí se účelový znak dotace</t>
  </si>
  <si>
    <t>sloupec 2 - uvádí se evidovaný počet případů k 31.12.2009, resp. k 1.1.2010 (počet spisů Om, spisy Nom a počty žadatelů o náhradní rodinnou péči)</t>
  </si>
  <si>
    <t xml:space="preserve">sloupec 3 - uvádí se počet pracovníků obecního úřadu na úseku sociálně-právní ochrany dětí </t>
  </si>
  <si>
    <t>údaje musí vycházet z ročních statistických výkazů V (MPSV) 20-01 o výkonu sociálně právní ochrany dětí</t>
  </si>
  <si>
    <t>Sestavil: ing. Šárka Hájková</t>
  </si>
  <si>
    <t>Datum a podpis: 1.2.2010</t>
  </si>
  <si>
    <t>Příloha č. 1a</t>
  </si>
  <si>
    <t>Adresa:</t>
  </si>
  <si>
    <t>Horní náměstí 1, Olomouc</t>
  </si>
  <si>
    <t>IČ:</t>
  </si>
  <si>
    <t>Finanční vypořádání dotací ze státního rozpočtu a rozpočtu Krajského úřadu OK za rok 2009</t>
  </si>
  <si>
    <t xml:space="preserve">dotací na projekty spolufinancované z rozpočtu Evropské unie a z prostředků finančních mechanismů </t>
  </si>
  <si>
    <t>v Kč na dvě desetinná místa</t>
  </si>
  <si>
    <t>Účelový
znak</t>
  </si>
  <si>
    <t>Ukazatel</t>
  </si>
  <si>
    <t xml:space="preserve">Poskytnuto
k 31.12.2009      </t>
  </si>
  <si>
    <t>Čerpáno
k 31.12.2009</t>
  </si>
  <si>
    <t xml:space="preserve">Vratka dotací
při finančním 
vypořádání
</t>
  </si>
  <si>
    <t>a</t>
  </si>
  <si>
    <t>b</t>
  </si>
  <si>
    <t>3 = 1 - 2</t>
  </si>
  <si>
    <t>A.1. Neinvestiční dotace celkem</t>
  </si>
  <si>
    <t>v tom:</t>
  </si>
  <si>
    <t>Přímé náklady na vzdělávání</t>
  </si>
  <si>
    <t xml:space="preserve">                  z toho - platy</t>
  </si>
  <si>
    <t xml:space="preserve">                               OON</t>
  </si>
  <si>
    <t xml:space="preserve">                               odvody ZP a SP</t>
  </si>
  <si>
    <t xml:space="preserve">                               FKSP</t>
  </si>
  <si>
    <t xml:space="preserve">                               ONIV</t>
  </si>
  <si>
    <t xml:space="preserve">                                     z toho: náhrady nemoc.dávek</t>
  </si>
  <si>
    <t>Rozvojový program EVVO pro školy</t>
  </si>
  <si>
    <t xml:space="preserve">Zvýšení nenárokových složek platů  a motivačních složek mezd pedagogických pracovníků </t>
  </si>
  <si>
    <t xml:space="preserve">                 z toho - platy</t>
  </si>
  <si>
    <t xml:space="preserve">                              odvody ZP a SP</t>
  </si>
  <si>
    <t xml:space="preserve">                              FKSP</t>
  </si>
  <si>
    <t>RP - Evropa mladýma očima</t>
  </si>
  <si>
    <t xml:space="preserve">                 z toho -  mzdové prostředky</t>
  </si>
  <si>
    <t>RP -  "Hustota" a "Specifika"</t>
  </si>
  <si>
    <t>RP - Posílení úrovně odměňování nepedagog. pracovníků</t>
  </si>
  <si>
    <t>RP-Školní vybavení pro žáky 1.ročníku ZŠ</t>
  </si>
  <si>
    <t>RP-Podpora škol realizujících inkluzivní vzdělávání</t>
  </si>
  <si>
    <t>Program sociální prevence a prevence kriminality</t>
  </si>
  <si>
    <t xml:space="preserve">                  z toho - OON</t>
  </si>
  <si>
    <t>Projekty romské komunity</t>
  </si>
  <si>
    <t>Program protidrogové politiky</t>
  </si>
  <si>
    <t>Soutěže</t>
  </si>
  <si>
    <t xml:space="preserve">Asistenti pedagogů pro děti, žáky a studenty se sociálním znevýhodněním </t>
  </si>
  <si>
    <t>Náhradní stravování dětí, žáků studentů</t>
  </si>
  <si>
    <t>Dotace poskytnuté z rozpočtu Krajského úřadu OK</t>
  </si>
  <si>
    <t>00019</t>
  </si>
  <si>
    <t>Rozvoj ICT</t>
  </si>
  <si>
    <t>00103</t>
  </si>
  <si>
    <t>00112</t>
  </si>
  <si>
    <t>Enviromentální vzdělávání výchova a osvěta</t>
  </si>
  <si>
    <t>00114</t>
  </si>
  <si>
    <t>Talent Olomouckého kraje</t>
  </si>
  <si>
    <t>A.2. Investiční dotace celkem</t>
  </si>
  <si>
    <t>A.3. Dotace celkem
    (A.1.+ A.2.)</t>
  </si>
  <si>
    <t>Vysvětlivky:</t>
  </si>
  <si>
    <t>sloupec 1 - uvádí se výše dotace převedená poskytovatelem na účet příjemce do 31. 12. 2009</t>
  </si>
  <si>
    <t xml:space="preserve">sloupec 2 - uvádí se výše skutečně použitých prostředků z poskytnuté dotace k 31.12.2009 </t>
  </si>
  <si>
    <t>sloupec 3 - uvádí se vratka dotace při finančním vypořádání, rovná se sl. 1 - sl. 2</t>
  </si>
  <si>
    <t>Sestavil:</t>
  </si>
  <si>
    <t>Silva Látalová</t>
  </si>
  <si>
    <t>Kontroloval:</t>
  </si>
  <si>
    <t>Datum a podpis:</t>
  </si>
  <si>
    <t>25. 01. 2010</t>
  </si>
  <si>
    <t>Datum, podpis, razítko:</t>
  </si>
  <si>
    <t>Telefon:</t>
  </si>
  <si>
    <t xml:space="preserve">Vybudování zabezpečené oblasti pro zabezpečení ochrany utajovaných informací  </t>
  </si>
  <si>
    <t>Za školou - rekonstrukce komunikace a inženýrských sítí</t>
  </si>
  <si>
    <t>Zolova - Kafkova  - chodník</t>
  </si>
  <si>
    <t>ZŠ Holečkova  - I. etapa odstranění poruch konstrukčního systému</t>
  </si>
  <si>
    <r>
      <t xml:space="preserve">ÚZ 91252 </t>
    </r>
    <r>
      <rPr>
        <sz val="8"/>
        <rFont val="Arial Narrow"/>
        <family val="2"/>
      </rPr>
      <t>SFDI ČR na akci "Bezbariér. úpravy komunikací - 62 tis. Kč trasa J, 61 tis. Kč trasa K, 328 tis. Kč trasa N"</t>
    </r>
  </si>
  <si>
    <r>
      <t xml:space="preserve">ÚZ 13306 </t>
    </r>
    <r>
      <rPr>
        <sz val="8"/>
        <rFont val="Arial Narrow"/>
        <family val="2"/>
      </rPr>
      <t>MPSV ČR na dávky sociální péče pro těžce zdravotně postižené a na dávky pomoci v hm. nouzi</t>
    </r>
  </si>
  <si>
    <r>
      <t>ÚZ 13235</t>
    </r>
    <r>
      <rPr>
        <sz val="8"/>
        <rFont val="Arial Narrow"/>
        <family val="2"/>
      </rPr>
      <t xml:space="preserve"> MPSV ČR na výplatu příspěvku na péči oprávněným osobám</t>
    </r>
  </si>
  <si>
    <r>
      <t>ÚZ 33113234</t>
    </r>
    <r>
      <rPr>
        <sz val="8"/>
        <rFont val="Arial Narrow"/>
        <family val="2"/>
      </rPr>
      <t xml:space="preserve"> MPSV ČR na program "Lidské zdroje a zaměstnanost"</t>
    </r>
  </si>
  <si>
    <r>
      <t xml:space="preserve">ÚZ 33513234 </t>
    </r>
    <r>
      <rPr>
        <sz val="8"/>
        <rFont val="Arial Narrow"/>
        <family val="2"/>
      </rPr>
      <t>Evropský sociální fond na program "Lidské zdroje a zaměstnanost"</t>
    </r>
  </si>
  <si>
    <r>
      <t>ÚZ 13002</t>
    </r>
    <r>
      <rPr>
        <sz val="8"/>
        <rFont val="Arial Narrow"/>
        <family val="2"/>
      </rPr>
      <t xml:space="preserve"> MPSV ČR na úhradu pojistného pro osoby vykonávající veřejnou službu dle zákona č. 111/2008 Sb.</t>
    </r>
  </si>
  <si>
    <r>
      <t>ÚZ 13305</t>
    </r>
    <r>
      <rPr>
        <sz val="8"/>
        <rFont val="Arial Narrow"/>
        <family val="2"/>
      </rPr>
      <t xml:space="preserve"> MPSV ČR na poskytování sociálních služeb v r. 2009 (dotace nebyla ze strany státu plně dofinancována)</t>
    </r>
  </si>
  <si>
    <r>
      <t>ÚZ 29004</t>
    </r>
    <r>
      <rPr>
        <sz val="8"/>
        <rFont val="Arial Narrow"/>
        <family val="2"/>
      </rPr>
      <t xml:space="preserve"> MZe ČR na výsadu minimálního podílu melioračních a zpevňujících dřevin</t>
    </r>
  </si>
  <si>
    <r>
      <t>ÚZ 29008</t>
    </r>
    <r>
      <rPr>
        <sz val="8"/>
        <rFont val="Arial Narrow"/>
        <family val="2"/>
      </rPr>
      <t xml:space="preserve"> MZe ČR na činnost odborného lesního hospodáře</t>
    </r>
  </si>
  <si>
    <r>
      <t>ÚZ 34053</t>
    </r>
    <r>
      <rPr>
        <sz val="8"/>
        <rFont val="Arial Narrow"/>
        <family val="2"/>
      </rPr>
      <t xml:space="preserve"> MK ČR pro KMO na realizaci projektu z programu "Veřejné informační služby knihoven VISK 9"</t>
    </r>
  </si>
  <si>
    <t xml:space="preserve">obnovení revolvingového úvěru u KB, a. s. na období 2009 - 2010 </t>
  </si>
  <si>
    <t>Úspora UR</t>
  </si>
  <si>
    <t>globální dotace, navýšení:st. dotace Krajského úřadu 2.502.865,- Kč na zajištění region. funkcí knihoven ÚZ 204, dotace MK ČR 50 tis. Kč  na projekt "Veřejné inf. služby knihoven", zdroje města 321 tis. Kč</t>
  </si>
  <si>
    <t>3632-5331-1650</t>
  </si>
  <si>
    <t>navýšení: zdroje města 791 tis. Kč</t>
  </si>
  <si>
    <t>Správa lesů města Olomouce</t>
  </si>
  <si>
    <t>1031-5331-1780</t>
  </si>
  <si>
    <t>CELKEM přísp. organizace</t>
  </si>
  <si>
    <t>Způsob ručení</t>
  </si>
  <si>
    <t>v %</t>
  </si>
  <si>
    <t>1</t>
  </si>
  <si>
    <t>4</t>
  </si>
  <si>
    <t>6</t>
  </si>
  <si>
    <t>Statutární město Olomouc</t>
  </si>
  <si>
    <t>provozní ( sazba 1M+0,9 )</t>
  </si>
  <si>
    <t xml:space="preserve">KB, a. s. </t>
  </si>
  <si>
    <t>IV.2011</t>
  </si>
  <si>
    <t>bez zajištění</t>
  </si>
  <si>
    <t>investiční</t>
  </si>
  <si>
    <t>EIB</t>
  </si>
  <si>
    <t>VI/2034</t>
  </si>
  <si>
    <t>O b e c (DSO)   c e l k e m</t>
  </si>
  <si>
    <t>Poznámka: * v případě přijatého úvěru v cizí měně se uvádí údaj  v cizí měně</t>
  </si>
  <si>
    <t xml:space="preserve">Vypracoval: </t>
  </si>
  <si>
    <t xml:space="preserve"> Schválil:</t>
  </si>
  <si>
    <t>Datum:</t>
  </si>
  <si>
    <t>Razítko obecního úřadu:</t>
  </si>
  <si>
    <t>Ing. Jana Dokoupilová</t>
  </si>
  <si>
    <t>Bc. Vítězslava Vičarová</t>
  </si>
  <si>
    <t>vedoucí odd. finanční strategie</t>
  </si>
  <si>
    <t>vedoucí ekonomického odboru</t>
  </si>
  <si>
    <t>tel. č. 585 513 255</t>
  </si>
  <si>
    <t>tel. č. 585 513 315</t>
  </si>
  <si>
    <t>02 - odbor investic</t>
  </si>
  <si>
    <t>03 - odbor koncepce a rozvoje</t>
  </si>
  <si>
    <t>04 - odbor živnostenský</t>
  </si>
  <si>
    <t>05 - odbor ekonomický</t>
  </si>
  <si>
    <t>06 - odbor vn. auditu a kontroly</t>
  </si>
  <si>
    <t>08 - odbor agendy řidičů a motor. vozidel</t>
  </si>
  <si>
    <t>10 - stavební odbor</t>
  </si>
  <si>
    <t>11 - odbor vn. vztahů a informací</t>
  </si>
  <si>
    <t>ZŠ Holečkova - plynový kotel</t>
  </si>
  <si>
    <t>G - realizuje SNO, a. s. - orj. 39</t>
  </si>
  <si>
    <t>Horní nám.10 - vybudování 3 b.j.</t>
  </si>
  <si>
    <t xml:space="preserve"> hrazeno z nájemného</t>
  </si>
  <si>
    <t>Purkyňova 3 - rekonstrukce objektu</t>
  </si>
  <si>
    <t>Michalská 2 - rekonstrukce bytu na kancelář MmOl</t>
  </si>
  <si>
    <t>H - realizuje MOVO, a. s. - orj. 70</t>
  </si>
  <si>
    <t>Rekonstrukce kanalizace Šubova - dokončení</t>
  </si>
  <si>
    <t xml:space="preserve"> hrazeno z nájemného </t>
  </si>
  <si>
    <t>Projektová dokumentace</t>
  </si>
  <si>
    <t>Rekonstrukce veřejných částí kanalizačních přípojek</t>
  </si>
  <si>
    <t>Poznámka</t>
  </si>
  <si>
    <t>Změna</t>
  </si>
  <si>
    <t>% čerpání</t>
  </si>
  <si>
    <t>ZŠ Petřkova  - rekonstrukce výdejny stravy</t>
  </si>
  <si>
    <t>ZŠ Rožňavská - energetická opatření</t>
  </si>
  <si>
    <t>ZŠ Rožňavská - rekonstrukce ŠJ</t>
  </si>
  <si>
    <t>ZŠ Rožňavská - rekonstrukce ŠJ - střecha a okna</t>
  </si>
  <si>
    <t>ZŠ Zeyerova - rekonstrukce koridoru</t>
  </si>
  <si>
    <t>Mezisoučet</t>
  </si>
  <si>
    <r>
      <t>ÚZ 98069</t>
    </r>
    <r>
      <rPr>
        <sz val="10"/>
        <rFont val="Arial"/>
        <family val="2"/>
      </rPr>
      <t xml:space="preserve"> - realizuje odbor investic</t>
    </r>
  </si>
  <si>
    <r>
      <t>ÚZ 27189505</t>
    </r>
    <r>
      <rPr>
        <sz val="10"/>
        <rFont val="Arial"/>
        <family val="2"/>
      </rPr>
      <t xml:space="preserve"> - realizuje odbor investic</t>
    </r>
  </si>
  <si>
    <r>
      <t>ÚZ 27589506</t>
    </r>
    <r>
      <rPr>
        <sz val="10"/>
        <rFont val="Arial"/>
        <family val="2"/>
      </rPr>
      <t xml:space="preserve"> - realizuje odbor investic</t>
    </r>
  </si>
  <si>
    <r>
      <t xml:space="preserve">ÚZ 34908 </t>
    </r>
    <r>
      <rPr>
        <sz val="10"/>
        <rFont val="Arial"/>
        <family val="2"/>
      </rPr>
      <t>- real. odbor sociálních služeb a zdrav.</t>
    </r>
  </si>
  <si>
    <t>Schválený rozpočet                              na rok 2009                                                 v tis. Kč</t>
  </si>
  <si>
    <t>Upravený rozpočet                     k 29.9.2009                         v Kč</t>
  </si>
  <si>
    <t>změna</t>
  </si>
  <si>
    <t>Upravený rozpočet                       k 13.10.2009                         v Kč</t>
  </si>
  <si>
    <t>B - projektová dokumentace</t>
  </si>
  <si>
    <t>Bezbariérové úpravy komunikací - trasa K</t>
  </si>
  <si>
    <t>Bezbariérové úpravy komunikací - trasa N</t>
  </si>
  <si>
    <t>Bezručovy sady - lávka</t>
  </si>
  <si>
    <t>ÚZ 38587505</t>
  </si>
  <si>
    <t>ÚZ 38187501</t>
  </si>
  <si>
    <r>
      <t>ÚZ 14876</t>
    </r>
    <r>
      <rPr>
        <sz val="10"/>
        <rFont val="Arial"/>
        <family val="2"/>
      </rPr>
      <t xml:space="preserve"> - real. odbor soc. služeb a zdrav.</t>
    </r>
  </si>
  <si>
    <r>
      <t>ÚZ 14907</t>
    </r>
    <r>
      <rPr>
        <sz val="10"/>
        <rFont val="Arial"/>
        <family val="2"/>
      </rPr>
      <t xml:space="preserve"> - realizuje odbor ochrany</t>
    </r>
  </si>
  <si>
    <t>Radnice - Vejdovského 2 - optické propojení ústředny</t>
  </si>
  <si>
    <t>Azylový dům  - stavební úpravy</t>
  </si>
  <si>
    <t>Hálkova 20 - stavební úpravy II.NP</t>
  </si>
  <si>
    <t>Hálkova 20 - energetická opatření</t>
  </si>
  <si>
    <t>Hany Kvapilové - rekonstrukce komunikace a inženýrských sítí</t>
  </si>
  <si>
    <t>ČOV - obnova technologického zařízení</t>
  </si>
  <si>
    <t>org.</t>
  </si>
  <si>
    <t>Návrh rozpočtu                   na rok 2009                                                         v tis. Kč</t>
  </si>
  <si>
    <t>upravený rozpočet                       k 18.9.2007</t>
  </si>
  <si>
    <t xml:space="preserve">upravený rozpočet                                k 30.10.2007                     </t>
  </si>
  <si>
    <t>Upravený rozpočet                              k 29.9.2009                            v Kč</t>
  </si>
  <si>
    <t>Upravený rozpočet                     k 13.10.2009                          v Kč</t>
  </si>
  <si>
    <t>ZŠ Heyrovského - energetická opatření</t>
  </si>
  <si>
    <t xml:space="preserve">z toho: DPMO, a. s. </t>
  </si>
  <si>
    <t xml:space="preserve">           Veolia Transport Morava, a. s.</t>
  </si>
  <si>
    <t xml:space="preserve">           ostatní</t>
  </si>
  <si>
    <t>FLORA, a. s. celkem</t>
  </si>
  <si>
    <t>Správa nemovitostí Olomouc, a. s.</t>
  </si>
  <si>
    <t>CELKEM obj. veř. služeb dle subjektů</t>
  </si>
  <si>
    <t xml:space="preserve">Položka </t>
  </si>
  <si>
    <t>Schválený rozpočet                       na rok 2009</t>
  </si>
  <si>
    <t xml:space="preserve">tř. 8 - financování </t>
  </si>
  <si>
    <t xml:space="preserve">v upraveném rozpočtu zapojen volný zůstatek na  účtu fondu </t>
  </si>
  <si>
    <t>příjmy</t>
  </si>
  <si>
    <t>Příjmy FRB celkem</t>
  </si>
  <si>
    <t>výdaje</t>
  </si>
  <si>
    <t>výdaje FRB celkem</t>
  </si>
  <si>
    <t>nevyčerpané prostředky jsou převoditelné do dalších let</t>
  </si>
  <si>
    <r>
      <t>8115</t>
    </r>
    <r>
      <rPr>
        <sz val="8"/>
        <rFont val="Arial"/>
        <family val="2"/>
      </rPr>
      <t>-změna stavu na bank. účtech</t>
    </r>
  </si>
  <si>
    <r>
      <t>2141-</t>
    </r>
    <r>
      <rPr>
        <sz val="8"/>
        <rFont val="Arial"/>
        <family val="2"/>
      </rPr>
      <t>příjmy z úroků</t>
    </r>
  </si>
  <si>
    <r>
      <t>2460-</t>
    </r>
    <r>
      <rPr>
        <sz val="8"/>
        <rFont val="Arial"/>
        <family val="2"/>
      </rPr>
      <t>splátky půjček od obyvatelstva</t>
    </r>
  </si>
  <si>
    <r>
      <t>6171</t>
    </r>
    <r>
      <rPr>
        <sz val="8"/>
        <rFont val="Arial"/>
        <family val="2"/>
      </rPr>
      <t>-činnost místní správy</t>
    </r>
  </si>
  <si>
    <r>
      <t>5161-</t>
    </r>
    <r>
      <rPr>
        <sz val="8"/>
        <rFont val="Arial"/>
        <family val="2"/>
      </rPr>
      <t>služby pošt</t>
    </r>
  </si>
  <si>
    <r>
      <t>3611-</t>
    </r>
    <r>
      <rPr>
        <sz val="8"/>
        <rFont val="Arial"/>
        <family val="2"/>
      </rPr>
      <t>podpora individuální bytové výstavby</t>
    </r>
  </si>
  <si>
    <r>
      <t xml:space="preserve">ÚZ 34352 </t>
    </r>
    <r>
      <rPr>
        <sz val="8"/>
        <rFont val="Arial Narrow"/>
        <family val="2"/>
      </rPr>
      <t>MK ČR pro Moravské divadlo (4.410 tis. Kč) a Moravskou filharmonii (745 tis. Kč)</t>
    </r>
  </si>
  <si>
    <r>
      <t>ÚZ 34054</t>
    </r>
    <r>
      <rPr>
        <sz val="8"/>
        <rFont val="Arial Narrow"/>
        <family val="2"/>
      </rPr>
      <t xml:space="preserve"> MK ČR na Program regenerace MPR A MPZ v roce 2009</t>
    </r>
  </si>
  <si>
    <r>
      <t>ÚZ 14005</t>
    </r>
    <r>
      <rPr>
        <sz val="8"/>
        <rFont val="Arial Narrow"/>
        <family val="2"/>
      </rPr>
      <t xml:space="preserve"> MV ČR na realizací projektů v rámci "Městského programu prevence kriminality v roce 2009"</t>
    </r>
  </si>
  <si>
    <t>Příloha č. 6</t>
  </si>
  <si>
    <t>Příloha č. 7</t>
  </si>
  <si>
    <t>Hospodaření účlových fondů - Fond rozvoje bydlení (klasický + povodňový),</t>
  </si>
  <si>
    <t>Příloha č. 8</t>
  </si>
  <si>
    <t>Rekapitulace příjmů, výdajů a financování roku 2009</t>
  </si>
  <si>
    <t>Příjmy – plnění k 31. 12. 2009</t>
  </si>
  <si>
    <t>Sumář provozních výdajů – objednávky veřejných služeb v roce 2009</t>
  </si>
  <si>
    <t>Sumář provozních výdajů – příspěvkové organizace v roce 2009</t>
  </si>
  <si>
    <t>Investice - čerpání k 31. 12. 2009</t>
  </si>
  <si>
    <t>Financování v roce 2009</t>
  </si>
  <si>
    <t>sociální fondy a FRR v roce 2009</t>
  </si>
  <si>
    <t>Finanční vypořádání se státním rozpočtem za rok 2009</t>
  </si>
  <si>
    <t>veřejné osvětlení a SSZ</t>
  </si>
  <si>
    <t>org. 10567</t>
  </si>
  <si>
    <t>pasport VO a SSZ</t>
  </si>
  <si>
    <t>org. 10568</t>
  </si>
  <si>
    <t>Celkem odbor dopravy</t>
  </si>
  <si>
    <t>11 - odb. vn. vztahů a informací</t>
  </si>
  <si>
    <t>udržování a opravy inform. systému                                             v přednádražním prostoru</t>
  </si>
  <si>
    <t>org. 1056</t>
  </si>
  <si>
    <t>kontrola tech. stavu a údržba veř. hřišť</t>
  </si>
  <si>
    <t xml:space="preserve">org. 1056 </t>
  </si>
  <si>
    <t>Číslo pol.</t>
  </si>
  <si>
    <t>Název položky</t>
  </si>
  <si>
    <t>Upravený rozpočet                                                k 31. 12. 2009</t>
  </si>
  <si>
    <t>Plnění                            k 31. 12. 2009</t>
  </si>
  <si>
    <t>% plnění</t>
  </si>
  <si>
    <t>Poznámka - vztahuje se k upravenému rozpočtu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</si>
  <si>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</si>
  <si>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</si>
  <si>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</si>
  <si>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</si>
  <si>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příjmů práv. osob za obce (20 %)</t>
  </si>
  <si>
    <t xml:space="preserve">100.000,-- Kč; SLMO 1.285.000,-- Kč  </t>
  </si>
  <si>
    <t>daň z přidané hodnoty</t>
  </si>
  <si>
    <t>daň z nemovitostí</t>
  </si>
  <si>
    <t>daně celkem</t>
  </si>
  <si>
    <t>poplatky za znečišťování ovzduší</t>
  </si>
  <si>
    <t>příjem prostřednictvím státního rozpočtu</t>
  </si>
  <si>
    <t>odvody za odnětí půdy ze ZPF</t>
  </si>
  <si>
    <t>jednorázový, neopakující se příjem prostřednictvím státního rozpočtu</t>
  </si>
  <si>
    <t>poplatky za odnětí pozemků plnění funkcí lesa</t>
  </si>
  <si>
    <t>poplatek za likvidaci komunálního odpadu</t>
  </si>
  <si>
    <t>poplatek ze psů</t>
  </si>
  <si>
    <t>poplatek za lázeňský nebo rekreační pobyt</t>
  </si>
  <si>
    <t>poplatek  za užívání veřejného prostranství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</si>
  <si>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</si>
  <si>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</si>
  <si>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</si>
  <si>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</si>
  <si>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odvod výtěžku z provozování loterií</t>
  </si>
  <si>
    <t>příjmy za zkoušky z odborné způsobilosti od</t>
  </si>
  <si>
    <t>žadatelů o řidičské oprávnění</t>
  </si>
  <si>
    <t>ostatní odvody z vybranných činností j. n.</t>
  </si>
  <si>
    <t>správní poplatky - VHP</t>
  </si>
  <si>
    <t>správní poplatky</t>
  </si>
  <si>
    <t>13 mil. Kč; stavební odbor 1 mil. Kč; živnostenský odbor 3.508 tis. Kč; odbor správy 19.517 tis. Kč (matrika,</t>
  </si>
  <si>
    <t xml:space="preserve"> odd. cest. dokladů, obč. průkazů a EO)                                                    </t>
  </si>
  <si>
    <t>vozidel 14.263.425,-- Kč; stavební odbor 1.343.470,-- Kč; živnostenský odbor 2.161.370,-- Kč; odbor správy</t>
  </si>
  <si>
    <t>7.136.815,-- Kč; odbor soc. služeb a zdravotnictví 1.830,-- Kč; ekonomický odbor 39.365,-- Kč; odbor školství 400,-- Kč</t>
  </si>
  <si>
    <t>poplatky celkem</t>
  </si>
  <si>
    <t>Celkem tř. 1 - DAŇOVÉ PŘÍJMY</t>
  </si>
  <si>
    <t>Schválený rozpočet                            na rok 2009                   v tis. Kč</t>
  </si>
  <si>
    <t>Upravený rozpočet                     k 29.9.2009                            v Kč</t>
  </si>
  <si>
    <t>Upravený rozpočet               k 13.10.2009                         v Kč</t>
  </si>
  <si>
    <t xml:space="preserve">Poznámka </t>
  </si>
  <si>
    <t>Odbor</t>
  </si>
  <si>
    <t>Celkem</t>
  </si>
  <si>
    <t>07 - odbor dopravy</t>
  </si>
  <si>
    <t>19 - odbor správy</t>
  </si>
  <si>
    <t xml:space="preserve">Schválený rozpočet                                          na rok 2009 </t>
  </si>
  <si>
    <t xml:space="preserve"> </t>
  </si>
  <si>
    <r>
      <t xml:space="preserve">ÚZ 00008 </t>
    </r>
    <r>
      <rPr>
        <sz val="8"/>
        <rFont val="Arial Narrow"/>
        <family val="2"/>
      </rPr>
      <t>na zajištění akceschopnosti JSDH</t>
    </r>
  </si>
  <si>
    <r>
      <t>ÚZ 00112</t>
    </r>
    <r>
      <rPr>
        <sz val="8"/>
        <rFont val="Arial Narrow"/>
        <family val="2"/>
      </rPr>
      <t xml:space="preserve"> pro MŠ Helsinská 11 na projekt "Zelená škola Olomouckého kraje ve školním roce 2008/2009"</t>
    </r>
  </si>
  <si>
    <r>
      <t xml:space="preserve">ÚZ 38587005 </t>
    </r>
    <r>
      <rPr>
        <sz val="8"/>
        <rFont val="Arial Narrow"/>
        <family val="2"/>
      </rPr>
      <t>Evropský fond pro regionální rozvoj na akci "Koordinace a řízení IPRÚ"</t>
    </r>
  </si>
  <si>
    <r>
      <t xml:space="preserve">ÚZ 38187001 </t>
    </r>
    <r>
      <rPr>
        <sz val="8"/>
        <rFont val="Arial Narrow"/>
        <family val="2"/>
      </rPr>
      <t>Evropský fond pro regionální rozvoj na akci "Koordinace a řízení IPRÚ"</t>
    </r>
  </si>
  <si>
    <r>
      <t>ÚZ 98069 MF ČR</t>
    </r>
    <r>
      <rPr>
        <sz val="8"/>
        <rFont val="Arial Narrow"/>
        <family val="2"/>
      </rPr>
      <t xml:space="preserve"> na dořešení podmínek pro výkon státní správy vykonávané SmOl </t>
    </r>
  </si>
  <si>
    <r>
      <t>ÚZ 27189509</t>
    </r>
    <r>
      <rPr>
        <sz val="8"/>
        <rFont val="Arial Narrow"/>
        <family val="2"/>
      </rPr>
      <t xml:space="preserve"> SZIF ČR na akci "Celková oprava lesního hřiště robinsonádního typu - Bělidla"</t>
    </r>
  </si>
  <si>
    <r>
      <t>ÚZ 27589510</t>
    </r>
    <r>
      <rPr>
        <sz val="8"/>
        <rFont val="Arial Narrow"/>
        <family val="2"/>
      </rPr>
      <t xml:space="preserve"> SZIF ČR na akci "Celková oprava lesního hřiště robinsonádního typu - Bělidla"</t>
    </r>
  </si>
  <si>
    <r>
      <t xml:space="preserve">ÚZ 27189505 </t>
    </r>
    <r>
      <rPr>
        <sz val="8"/>
        <rFont val="Arial Narrow"/>
        <family val="2"/>
      </rPr>
      <t>SZIF ČR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na akci "Celková oprava lesní cesty Horecká"</t>
    </r>
  </si>
  <si>
    <r>
      <t xml:space="preserve">ÚZ 27589506 </t>
    </r>
    <r>
      <rPr>
        <sz val="8"/>
        <rFont val="Arial Narrow"/>
        <family val="2"/>
      </rPr>
      <t>SZIF ČR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na akci "Celková oprava lesní cesty Horecká"</t>
    </r>
  </si>
  <si>
    <r>
      <t>ÚZ 10190102</t>
    </r>
    <r>
      <rPr>
        <sz val="8"/>
        <rFont val="Arial Narrow"/>
        <family val="2"/>
      </rPr>
      <t xml:space="preserve"> SFŽP ČR na akci "Rekonstrukce a dobudování stokové sítě města " </t>
    </r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</si>
  <si>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640.756.855,34 Kč</t>
    </r>
    <r>
      <rPr>
        <sz val="10"/>
        <rFont val="Arial Narrow"/>
        <family val="2"/>
      </rPr>
      <t>. Tuto částku tvoří:</t>
    </r>
  </si>
  <si>
    <t xml:space="preserve">pokuty - stavební odbor </t>
  </si>
  <si>
    <t xml:space="preserve">pokuty - odbor agendy řidičů a motor. vozidel   </t>
  </si>
  <si>
    <t>pokuty - Městská policie</t>
  </si>
  <si>
    <t>pokuty - odbor životní prostředí</t>
  </si>
  <si>
    <t>ostatní pokuty</t>
  </si>
  <si>
    <t>str. 6 - 7</t>
  </si>
  <si>
    <t>str. 8</t>
  </si>
  <si>
    <t>str. 10 - 12</t>
  </si>
  <si>
    <t>str. 2 - 5</t>
  </si>
  <si>
    <t>str. 1 - 14</t>
  </si>
  <si>
    <t>125 tis. Kč firma ASEKOL, s. r. o. na opravy obslužné komunikace (sběrový dvůr v Chválkovicích); 10 tis. Kč</t>
  </si>
  <si>
    <t xml:space="preserve">paní L. Červenková pro Nízkoprahové zařízení proděti a mládež SmOl; 10 tis Kč LO HANÁ, s. r. o. </t>
  </si>
  <si>
    <t>sloupec 2 - uvádí se výše dotace nebo návratné finanční výpomoci převedené poskytovatelem prostřednictvím příslušného kraje nebo hlavního města Prahy na účet příjemce k 31.12.2…</t>
  </si>
  <si>
    <t>sloupec 3 - vyplňuje se, pokud příjemce provedl vratku dotace nebo návratné finanční výpomoci, případně její části již v průběhu roku, za který se provádí finanční vypořádání,</t>
  </si>
  <si>
    <t xml:space="preserve"> na účet kraje nebo hlavního města Prahy 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</si>
  <si>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</si>
  <si>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</si>
  <si>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Pozn.: dopad vratky návratné finanční výpomoci při finančním vypořádání do splátkového kalendáře je řešen v § 18 odst. 2 </t>
  </si>
  <si>
    <r>
      <t>Kraj nebo hl.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 xml:space="preserve">: </t>
    </r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</si>
  <si>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</si>
  <si>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</si>
  <si>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</si>
  <si>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</si>
  <si>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</si>
  <si>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 xml:space="preserve">Kraj nebo hl. město Praha1: </t>
  </si>
  <si>
    <t>Ministerstvo financí ČR - všeobecná pokladní správa</t>
  </si>
  <si>
    <t>Výkon státní správy v oblasti sociálních služeb</t>
  </si>
  <si>
    <t>Sociálně právní ochrana dětí</t>
  </si>
  <si>
    <t>Volby do Evropského parlamentu</t>
  </si>
  <si>
    <t>Neuskutečněné volby do Poslanecké sněmovny PČR</t>
  </si>
  <si>
    <t>Výkon státní správy Olomouc</t>
  </si>
  <si>
    <t>Ministerstvo kultury ČR</t>
  </si>
  <si>
    <t>termín odevzdání: 5. 2. 2010</t>
  </si>
  <si>
    <t xml:space="preserve">Veřejné informační služby knihoven -  VISK </t>
  </si>
  <si>
    <t xml:space="preserve">Moravské divadlo </t>
  </si>
  <si>
    <t xml:space="preserve">        jednotlivé tituly</t>
  </si>
  <si>
    <t>Příjemce:</t>
  </si>
  <si>
    <t>Kapitola:</t>
  </si>
  <si>
    <t>Ministerstvo práce a sociálních věcí ČR</t>
  </si>
  <si>
    <t xml:space="preserve">                  Finanční vypořádání dotací a návratných finančních výpomocí poskytnutým obcím, dobrovolným svazkům obcí,  </t>
  </si>
  <si>
    <t xml:space="preserve">                       příjemcům dotace na poskytování sociálních služeb prostřednictvím kraje nebo hlavního města Prahy</t>
  </si>
  <si>
    <t xml:space="preserve">                                                spolufinancované z rozpočtu Evropské unie a z prostředků finančních mechanismů</t>
  </si>
  <si>
    <t>Č.j.:</t>
  </si>
  <si>
    <t>Účelový znak</t>
  </si>
  <si>
    <t>Poskytnuto                    k 31.12.2009</t>
  </si>
  <si>
    <t>Čerpáno                          k 31. 12. 2009</t>
  </si>
  <si>
    <t>Vráceno v průběhu roku zpět na účet kraje</t>
  </si>
  <si>
    <t>Skutečně použito k 31.12.2009</t>
  </si>
  <si>
    <t>Vratka dotace a návratné finanční výpomoci při finančním vypořádání</t>
  </si>
  <si>
    <t>5 = 2 - 3 - 4</t>
  </si>
  <si>
    <t>v tom:                                                                            Dávky sociální péče pro ZP a HN</t>
  </si>
  <si>
    <t>Příspěvek na péči</t>
  </si>
  <si>
    <t>rozdíl stavu účtů od počátku do konce finančního období</t>
  </si>
  <si>
    <t>Pojistné na veřejnou službu</t>
  </si>
  <si>
    <t>v tom:                                                                            jednotlivé tituly</t>
  </si>
  <si>
    <t>A.3. Návratná finanční výpomoc celkem</t>
  </si>
  <si>
    <t>A.4. Dotace a návratné finanční výpomoci celkem (A.1. + A.2. + A.3.)</t>
  </si>
  <si>
    <t>ve sloupci a) se vyplňují údaje jen u dotací kapitoly Všeobecná pokladní správa a kapitoly Operace státních finančních aktiv</t>
  </si>
  <si>
    <t>ve sloupci c) jednotlivým titulem se rozumí účel stanovený v rozhodnutí, event. v dohodě nebo smlouvě o poskytnutí dotace nebo návratné finanční výpomoci</t>
  </si>
  <si>
    <t>sloupec 2 - uvádí se výše dotace nebo návratné finanční výpomoci převedená poskytovatelem prostřednictvím příslušného kraje nebo hlavního města Prahy na účet příjemce k 31. 12. 2008</t>
  </si>
  <si>
    <t xml:space="preserve">                 na účet kraje nebo hlavního města Prahy</t>
  </si>
  <si>
    <t xml:space="preserve">sloupec 4 - uvádí se výše skutečně použitých prostředků příjemcem z poskytnuté dotace nebo návratné finanční výpomoci k 31. 12. 2009  </t>
  </si>
  <si>
    <t>Pozn: dopad vratky návratné finanční výpomoci při finančním vypořádání do splátkového kalendáře je řešen v 18 odst. 2</t>
  </si>
  <si>
    <t xml:space="preserve">25. 01. 2010 </t>
  </si>
  <si>
    <r>
      <t>Kraj nebo hl.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0"/>
      </rPr>
      <t xml:space="preserve">: </t>
    </r>
  </si>
  <si>
    <r>
      <t xml:space="preserve">Část A. </t>
    </r>
    <r>
      <rPr>
        <sz val="10"/>
        <rFont val="Arial CE"/>
        <family val="2"/>
      </rPr>
      <t>Finanční vypořádání dotací a návratných finančních výpomocí poskytnutých ze státního rozpočtu s výjimkou dotací poskytnutých na projekty</t>
    </r>
  </si>
  <si>
    <r>
      <t>1</t>
    </r>
    <r>
      <rPr>
        <sz val="10"/>
        <rFont val="Arial CE"/>
        <family val="2"/>
      </rPr>
      <t xml:space="preserve"> uvádí se kraj, prostřednictvím kterého byla poskytnuta dotace správcem kapitoly státního rozpočtu</t>
    </r>
  </si>
  <si>
    <t>Ministerstvo průmyslu a obchodu ČR</t>
  </si>
  <si>
    <t>Činnost jednotných kontaktních míst</t>
  </si>
  <si>
    <t>Ministerstvo vnitra ČR</t>
  </si>
  <si>
    <t>údržba veř. WC, Sokolská ul.-údržba mobiliáře</t>
  </si>
  <si>
    <t>Celkem odbor správy</t>
  </si>
  <si>
    <t>Výstaviště FLORA, a. s.</t>
  </si>
  <si>
    <t>Výstaviště Flora Olomouc, a. s.</t>
  </si>
  <si>
    <t>org. 1075</t>
  </si>
  <si>
    <t>sběr a svoz komunál. odpadů</t>
  </si>
  <si>
    <t>čistota města vč. státních komunikací</t>
  </si>
  <si>
    <t>org. 10561 - z toho 30 tis. Sloup Nejsvětější Trojice</t>
  </si>
  <si>
    <t xml:space="preserve">Příjemce: </t>
  </si>
  <si>
    <t>Příloha č. 9 k vyhlášce č. 52/2008 Sb.</t>
  </si>
  <si>
    <t xml:space="preserve">Kapitola: </t>
  </si>
  <si>
    <t>Ministerstvo financí ČR - státní finanční aktiva</t>
  </si>
  <si>
    <t>termín odevzdání: 15. 2. 2010</t>
  </si>
  <si>
    <t xml:space="preserve">Finanční vypořádání dotací a návratných finančních výpomocí poskytnutých obcím, dobrovolným svazkům obcí,  </t>
  </si>
  <si>
    <t>příjemcům dotace na poskytování sociálních služeb prostřednictvím kraje nebo hlavního města Prahy</t>
  </si>
  <si>
    <t xml:space="preserve">              spolufinancované z rozpočtu Evropské unie a z prostředků finančních mechanismů </t>
  </si>
  <si>
    <t>Čj.</t>
  </si>
  <si>
    <t>účelový
znak</t>
  </si>
  <si>
    <t>Skutečně
použito 
k 31.12.2009</t>
  </si>
  <si>
    <t xml:space="preserve">Vratka dotací
a návratných 
finančních 
výpomocí
při finančním 
vypořádání
</t>
  </si>
  <si>
    <t>c</t>
  </si>
  <si>
    <t xml:space="preserve"> 5  = 2 - 3 - 4</t>
  </si>
  <si>
    <t xml:space="preserve">         jednotlivé tituly </t>
  </si>
  <si>
    <t>Rekonstrukce komunikace k areálu Korunní pevnůstka</t>
  </si>
  <si>
    <t xml:space="preserve">    - jednotlivé tituly</t>
  </si>
  <si>
    <t>A.4. Dotace a  návratné finanční výpomoci celkem
    (A.1. + A.2. + A.3.)</t>
  </si>
  <si>
    <t>ve sloupci a) se vyplňují údaje jen u dotací z kapitoly Všeobecná pokladní správa a z kapitoly Operace státních finančních aktiv</t>
  </si>
  <si>
    <t>ve sloupci c) jednotlivým titulem se rozumí  účel stanovený v rozhodnutí, event. v dohodě nebo smlouvě  o poskytnutí dotace nebo návratné finanční výpomoci</t>
  </si>
  <si>
    <t>sloupec 1 - uvádí se výše dotace nebo návratné finanční výpomoci stanovená v rozhodnutí event. dohodě nebo smlouvě o poskytnutí dotace nebo návratné finanční výpomoci</t>
  </si>
  <si>
    <t xml:space="preserve">např. vratky přeplatků záloh z minulých let za energie apod.; v tom 128.644,-- Kč vratka Finančního úřadu </t>
  </si>
  <si>
    <t>(prominuté penále, zaplacené ze strany města v roce 2008 a vrácené v roce 2009)</t>
  </si>
  <si>
    <t xml:space="preserve">výnosy soudních řízení </t>
  </si>
  <si>
    <t>Úřad vlády na projekt "EUROPE DIRECT"</t>
  </si>
  <si>
    <t>neidentifikované příjmy</t>
  </si>
  <si>
    <t>mylné platby (nerozpočtují se)</t>
  </si>
  <si>
    <t>ostatní nedaňové příjmy j. n.</t>
  </si>
  <si>
    <r>
      <t xml:space="preserve">Název organizace: </t>
    </r>
    <r>
      <rPr>
        <b/>
        <sz val="12"/>
        <rFont val="Arial CE"/>
        <family val="0"/>
      </rPr>
      <t>Statutární město Olomouce</t>
    </r>
  </si>
  <si>
    <r>
      <t xml:space="preserve">Část A. Finanční vypořádání dotací poskytnutých ze státního rozpočtu a rozopčtu Krajského úřadu OK s výjimkou  </t>
    </r>
  </si>
  <si>
    <t>Nákup autobusů</t>
  </si>
  <si>
    <t>Nákup nízkopodlažních tramvají</t>
  </si>
  <si>
    <t>Olomoucký hrad</t>
  </si>
  <si>
    <t>realizuje odbor informatiky</t>
  </si>
  <si>
    <t>Pořízení elektronické ústředny  - Vejdovského 2, Olomouc</t>
  </si>
  <si>
    <t>realizuje odbor správy</t>
  </si>
  <si>
    <t>Proměnné dopravní značení</t>
  </si>
  <si>
    <t>Průkaz energetické náročnosti budov škol</t>
  </si>
  <si>
    <t>realizuje odbor školství</t>
  </si>
  <si>
    <t>Rekonstrukce a dobudování stokové sítě města  - II. část</t>
  </si>
  <si>
    <t>Turistický multimediální průvodce Olomoucí</t>
  </si>
  <si>
    <t>Výkupy pozemků</t>
  </si>
  <si>
    <r>
      <t xml:space="preserve">ÚZ 29516 - </t>
    </r>
    <r>
      <rPr>
        <sz val="10"/>
        <rFont val="Arial"/>
        <family val="2"/>
      </rPr>
      <t>real. odbor životního prostředí</t>
    </r>
  </si>
  <si>
    <t>Schválený rozpočet                na rok 2009                   v tis. Kč</t>
  </si>
  <si>
    <t>Upravený rozpočet                  k 13.10.2009                               v Kč</t>
  </si>
  <si>
    <t>F - příspěvky a platby jiným subjektům</t>
  </si>
  <si>
    <t>FN Olomouc - operační stůl</t>
  </si>
  <si>
    <t>FN Olomouc - termovizní kamera</t>
  </si>
  <si>
    <t>FN Olomouc - velkokapacitní lednice</t>
  </si>
  <si>
    <t>FN Olomouc - vybavení dětské obezitologické ambulance</t>
  </si>
  <si>
    <t>FZŠ a MŠ Holečkova - úprava soc. zařízení v MŠ Schweitzerova</t>
  </si>
  <si>
    <t>HC Olomouc, s. r. o. - nákup automatického externího defibrilátoru</t>
  </si>
  <si>
    <t>Charita Olomouc - příspěvek na rekonstrukci objektu                                                                 na noclehárnu pro ženy a krizové centrum</t>
  </si>
  <si>
    <t>Charita Olomouc - příspěvek na rekonstrukci objektu                                                                 Wurmova 5, Olomouc</t>
  </si>
  <si>
    <t>Jošt Moravský, o. s. - jezdecká socha</t>
  </si>
  <si>
    <t>MŠ Mozartova 6, Olomouc - rekonstrukce sklepních prostor</t>
  </si>
  <si>
    <t>MŠ Škrétova  - přestavba sociálního zařízení</t>
  </si>
  <si>
    <t>o. s. JITRO - bezbariérová úprava sociálního zařízení</t>
  </si>
  <si>
    <t>Příspěvek akciové společnosti Aquapark Olomouc</t>
  </si>
  <si>
    <r>
      <t>ÚZ 60995816</t>
    </r>
    <r>
      <rPr>
        <sz val="8"/>
        <rFont val="Arial Narrow"/>
        <family val="2"/>
      </rPr>
      <t xml:space="preserve"> Národní fond na projekt "Modernizace školní jídelny FZŠ a MŠ Dr. Milady Horákové, Olomouc"</t>
    </r>
  </si>
  <si>
    <t>Ul. Táboritů - rekomunikace komunikace</t>
  </si>
  <si>
    <t>Ul. 8. května - stavební úpravy komunikace</t>
  </si>
  <si>
    <t>U Potoka - rekonstrukce komunikace</t>
  </si>
  <si>
    <t>U Botanické zahrady - rekonstrukce komunikace</t>
  </si>
  <si>
    <t>Vazební věznice - parkoviště</t>
  </si>
  <si>
    <t>V Hlinkách, Tabulový vrch - dětské hřiště</t>
  </si>
  <si>
    <t>Veverkova - Chválkovice - dětské hřiště</t>
  </si>
  <si>
    <t xml:space="preserve">nahodilé příjmy z minulých let - neopakující se platby (vratky sankcí, uhrazené pohledávky od zaměstnaců apod.) </t>
  </si>
  <si>
    <t>příjmy z úhrad dobývacího prostoru</t>
  </si>
  <si>
    <t>splátky půjčených prostředků od obyvatelstva</t>
  </si>
  <si>
    <t xml:space="preserve">FRB klasický 22.677 tis. Kč; FRB povodňový 429 tis. Kč          </t>
  </si>
  <si>
    <t>od zaměstnanců MmOl do sociálního fondu</t>
  </si>
  <si>
    <t>Celkem tř. 2 - NEDAŇOVÉ PŘÍJMY</t>
  </si>
  <si>
    <t>příjmy z prodeje ostatního hmotného dlouhodobého majetku</t>
  </si>
  <si>
    <t>před zavedením HČ - splátka pohledávky</t>
  </si>
  <si>
    <t>příjaté dary na pořízení dlouhodobého majetku</t>
  </si>
  <si>
    <t>dar Nadace Bezpečná Olomouce na rozšíření kamerového systému</t>
  </si>
  <si>
    <t>Celkem tř. 3 - KAPITÁLOVÉ PŘÍJMY</t>
  </si>
  <si>
    <t>neinv. přij. transf. z všeob. pokl. správy stát. rozpočtu</t>
  </si>
  <si>
    <t>neinv. přij. transf. v rámci souhrn. dotač. vztahu</t>
  </si>
  <si>
    <t xml:space="preserve">výkon st. správy 89.588.400,-- Kč; školství 14.417.700,-- Kč; Knihovna města Olomouce 17.744.000,-- Kč </t>
  </si>
  <si>
    <t>neinv. přijaté transfery ze státních fondů</t>
  </si>
  <si>
    <t>(limitní účet)</t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</si>
  <si>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</si>
  <si>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</si>
  <si>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</si>
  <si>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</si>
  <si>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</si>
  <si>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</si>
  <si>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</si>
  <si>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</si>
  <si>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</si>
  <si>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</si>
  <si>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</si>
  <si>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</si>
  <si>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účel. fondy (FRB, soc. fond,..)</t>
  </si>
  <si>
    <t>běžné účty celkem</t>
  </si>
  <si>
    <t>splátky úvěrů</t>
  </si>
  <si>
    <t>Komerční banka, a. s.</t>
  </si>
  <si>
    <t>Česká spořitelna, a. s.</t>
  </si>
  <si>
    <t>SFŽP ČR - rekultivace skládky Grygov</t>
  </si>
  <si>
    <t>MF ČR - kanalizace Holice</t>
  </si>
  <si>
    <t>Moravská vodárenská, a. s.</t>
  </si>
  <si>
    <t>Kommunalkredit Austria AG</t>
  </si>
  <si>
    <t>SFŽP ČR - Fond soudržnosti</t>
  </si>
  <si>
    <t>CELKEM  (B)</t>
  </si>
  <si>
    <t xml:space="preserve">Tř. 8 - </t>
  </si>
  <si>
    <t>FINANCOVÁNÍ CELKEM (A + B)</t>
  </si>
  <si>
    <t>- nesplacené bankovní úvěry od ČS,a.s. , KB,a.s. a  Kommunalkredit Austria AG</t>
  </si>
  <si>
    <t>- úvěr od Moravské vodárenské a. s.</t>
  </si>
  <si>
    <t>- návratná fin. výpomoc od MF ČR na akci Kanalizace - Holice - připojení na ČOV</t>
  </si>
  <si>
    <t>- úročená půjčka od Stát. fondu životního prostředí na akci Rekultivace skládky TKO Grygov</t>
  </si>
  <si>
    <t>- úročená půjčka od Stát. fondu životního prostředí na akci   ISPA</t>
  </si>
  <si>
    <t>- úvěr od Evropské investiční banky</t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</si>
  <si>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126.457.900,- Kč</t>
    </r>
    <r>
      <rPr>
        <sz val="10"/>
        <rFont val="Arial Narrow"/>
        <family val="2"/>
      </rPr>
      <t>. Tuto částku tvoří:</t>
    </r>
  </si>
  <si>
    <r>
      <t xml:space="preserve">Celková zadluženost města Olomouce k 31. 12. 2009 (bez úroků) činí  </t>
    </r>
    <r>
      <rPr>
        <b/>
        <sz val="12"/>
        <rFont val="Arial Narrow"/>
        <family val="2"/>
      </rPr>
      <t>1.268.981.761,50 Kč</t>
    </r>
    <r>
      <rPr>
        <sz val="12"/>
        <rFont val="Arial Narrow"/>
        <family val="2"/>
      </rPr>
      <t xml:space="preserve">.   Z toho:                                                                                                                                                             </t>
    </r>
  </si>
  <si>
    <t>Korunní pevnůstka - inženýrské sítě</t>
  </si>
  <si>
    <t>Kostel Husův sbor Olomouc - Hodolany - bezbariérový přístup</t>
  </si>
  <si>
    <t>Křivá ul. - náměstíčko</t>
  </si>
  <si>
    <t>Krakowská - rekonstrukce komunikace</t>
  </si>
  <si>
    <t>Kubátova, Chválkovice - dětské hřiště</t>
  </si>
  <si>
    <t>Lošov Svolinského - chodník a autobusová zastávka</t>
  </si>
  <si>
    <t>Lošov Svolinského - chodník a autobusová točna</t>
  </si>
  <si>
    <t>Máchalova ul. - rekonstrukce komunikace a inženýrských sítí</t>
  </si>
  <si>
    <t>Malá parkoviště</t>
  </si>
  <si>
    <t>Malinovského - rekonstrukce komunikace a inženýrských sítí</t>
  </si>
  <si>
    <t>Mišákova, Povel - dětské hřiště</t>
  </si>
  <si>
    <t>MŠ Dělnická - vstup</t>
  </si>
  <si>
    <t xml:space="preserve">MŠ Nemilany </t>
  </si>
  <si>
    <t>MŠ Jílová - stavební úpravy</t>
  </si>
  <si>
    <t>Náves Svobody, Holice - dětské hřiště</t>
  </si>
  <si>
    <t>Na Zábraní - rekonstrukce komunikace</t>
  </si>
  <si>
    <t>poplatek za autovraky - pravidelně probíhá odvod SFŽP ČR (průběžná položka)</t>
  </si>
  <si>
    <r>
      <t>skutečnost:</t>
    </r>
    <r>
      <rPr>
        <sz val="8"/>
        <rFont val="Arial Narrow"/>
        <family val="2"/>
      </rPr>
      <t xml:space="preserve"> 83.895,-- Kč Stavební firma OHL ŽS, a. s. (smluvní pokuta - akce "Baletní sál Moravského divadla"); </t>
    </r>
  </si>
  <si>
    <t xml:space="preserve">MV ČR pro JSDH na zabezpečení akceschopnosti, věcné vybaven, vzdělávání a uskutečněný zásah (34.895,-- Kč) </t>
  </si>
  <si>
    <r>
      <t xml:space="preserve">ÚZ 97572  </t>
    </r>
    <r>
      <rPr>
        <sz val="8"/>
        <rFont val="Arial Narrow"/>
        <family val="2"/>
      </rPr>
      <t>MF ČR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na akci "Korunní pevnůstka - inženýrské sítě"</t>
    </r>
  </si>
  <si>
    <t>Ministerstvo životního prostředí ČR</t>
  </si>
  <si>
    <t>Příspěvek pro ZOO Olomouc</t>
  </si>
  <si>
    <r>
      <t>Příjemce</t>
    </r>
    <r>
      <rPr>
        <sz val="10"/>
        <rFont val="Arial CE"/>
        <family val="2"/>
      </rPr>
      <t>:</t>
    </r>
  </si>
  <si>
    <t>Příloha č. 11 k vyhlášce č. 52/2008 Sb.</t>
  </si>
  <si>
    <t>Ministerstvo obrany ČR</t>
  </si>
  <si>
    <t>Finanční vypořádání dotací a návratných finančních výpomocí poskytnutých obcím, dobrovolným svazkům obcí, krajům nebo hlavnímu městu Praze</t>
  </si>
  <si>
    <t xml:space="preserve">z rozpočtu Evropské unie a z prostředků finančních mechanismů </t>
  </si>
  <si>
    <t xml:space="preserve">Poskytnuto
k 31.12.2009       </t>
  </si>
  <si>
    <t>Vráceno 
v průběhu roku
na
příjmový účet
poskytovatele</t>
  </si>
  <si>
    <t>6 =  2 - 3 - 4 - 5</t>
  </si>
  <si>
    <t>Oprava pohřebiště obětí 2. světové války (limitní účet)</t>
  </si>
  <si>
    <t>A.4. Dotace a  návratné finanční výpomoci celkem
    (A.1.+ A.2. + A.3.)</t>
  </si>
  <si>
    <t>sloupec 2 - uvádí se výše dotace převedené poskytovatelem na účet příjemce nebo čerpané příjemcem z rozpočtového výdajového účtu v rámci limitu stanoveného poskytovatelem k 31.12.2…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</si>
  <si>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</si>
  <si>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</si>
  <si>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</si>
  <si>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</si>
  <si>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>Poskytovatel</t>
    </r>
    <r>
      <rPr>
        <vertAlign val="superscript"/>
        <sz val="10"/>
        <rFont val="Arial CE"/>
        <family val="2"/>
      </rPr>
      <t>1:</t>
    </r>
  </si>
  <si>
    <r>
      <t>Kapitola</t>
    </r>
    <r>
      <rPr>
        <sz val="10"/>
        <rFont val="Arial CE"/>
        <family val="2"/>
      </rPr>
      <t>:</t>
    </r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</si>
  <si>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</si>
  <si>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</si>
  <si>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</si>
  <si>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Regenerace městské pam. rezervace a městské pam. zóny</t>
  </si>
  <si>
    <t>Zpřístupnění kostela Církve českobratrské husitské</t>
  </si>
  <si>
    <t>v Olomouci - Hodolanech (limitní účet)</t>
  </si>
  <si>
    <t>Rozšíření kamerového systému - etapa VII (limit. účet)</t>
  </si>
  <si>
    <t>Státutární město Olomouc - elektronické sirény (limit. účet)</t>
  </si>
  <si>
    <t>Státní fond dopravní infrastruktury ČR</t>
  </si>
  <si>
    <t>Bezbariérové úpravy komunikací - trasy J, K a N (limit. účet)</t>
  </si>
  <si>
    <t>investiční přijaté transfery ze státních finančních aktiv</t>
  </si>
  <si>
    <t>Celkem tř. 4 - PŘIJATÉ DOTACE</t>
  </si>
  <si>
    <t>PŘÍJMY CELKEM</t>
  </si>
  <si>
    <r>
      <t xml:space="preserve"> </t>
    </r>
    <r>
      <rPr>
        <sz val="8"/>
        <rFont val="Arial Narrow"/>
        <family val="2"/>
      </rPr>
      <t>ve výdajích ekonomického odboru se promítá 50 % odvod do státního rozpočtu</t>
    </r>
  </si>
  <si>
    <r>
      <t>odbor soc. pomoci 15 tis. Kč; odbor život. prostředí 560 tis. Kč;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 xml:space="preserve">odbor agendy řidičů a motor. vozidel                                       </t>
    </r>
  </si>
  <si>
    <r>
      <t xml:space="preserve">skutečnost: </t>
    </r>
    <r>
      <rPr>
        <sz val="8"/>
        <rFont val="Arial Narrow"/>
        <family val="2"/>
      </rPr>
      <t>odbor soc. pomoci 14.400,-- Kč; odbor život. prostředí 747.810,-- Kč; odbor agendy řidičů  a motor.</t>
    </r>
  </si>
  <si>
    <r>
      <t>skutečnost:</t>
    </r>
    <r>
      <rPr>
        <sz val="8"/>
        <rFont val="Arial Narrow"/>
        <family val="2"/>
      </rPr>
      <t xml:space="preserve"> platba soukromého subjektu za odběr vody v pavilonu Dětského dopravního hřiště (odbor školství)</t>
    </r>
  </si>
  <si>
    <r>
      <t xml:space="preserve">skutečnost: </t>
    </r>
    <r>
      <rPr>
        <sz val="8"/>
        <rFont val="Arial Narrow"/>
        <family val="2"/>
      </rPr>
      <t>3,4 mil. Kč firma OLTERM &amp; TD, Olomouc; 532,-- Kč firma DALKIA, a. s.</t>
    </r>
  </si>
  <si>
    <r>
      <t xml:space="preserve">skutečnost: </t>
    </r>
    <r>
      <rPr>
        <sz val="8"/>
        <rFont val="Arial Narrow"/>
        <family val="2"/>
      </rPr>
      <t>org. 878 - zadávací dokumentace - akce "Plavecký stadion"</t>
    </r>
  </si>
  <si>
    <r>
      <t xml:space="preserve">skutečnost: </t>
    </r>
    <r>
      <rPr>
        <sz val="8"/>
        <rFont val="Arial Narrow"/>
        <family val="2"/>
      </rPr>
      <t>org. 4759 - zadávací dokumentace - akce "Přeložka sběrače C"</t>
    </r>
  </si>
  <si>
    <r>
      <t>ÚZ 98116</t>
    </r>
    <r>
      <rPr>
        <sz val="8"/>
        <rFont val="Arial Narrow"/>
        <family val="2"/>
      </rPr>
      <t xml:space="preserve"> MF ČR na výkon státní správy v oblasti sociálních služeb</t>
    </r>
  </si>
  <si>
    <r>
      <t xml:space="preserve">ÚZ 98216 </t>
    </r>
    <r>
      <rPr>
        <sz val="8"/>
        <rFont val="Arial Narrow"/>
        <family val="2"/>
      </rPr>
      <t>MF ČR MF ČR na sociálně právní ochranu dětí</t>
    </r>
  </si>
  <si>
    <r>
      <t xml:space="preserve">ÚZ 98348 </t>
    </r>
    <r>
      <rPr>
        <sz val="8"/>
        <rFont val="Arial Narrow"/>
        <family val="2"/>
      </rPr>
      <t>MF ČR na volby do Evropského parlamentu</t>
    </r>
  </si>
  <si>
    <r>
      <t>ÚZ 98071</t>
    </r>
    <r>
      <rPr>
        <sz val="8"/>
        <rFont val="Arial Narrow"/>
        <family val="2"/>
      </rPr>
      <t xml:space="preserve"> MF ČR na volby do Parlamentu ČR</t>
    </r>
  </si>
  <si>
    <t>Příloha č.11 k vyhlášce č. 52/2008 Sb.</t>
  </si>
  <si>
    <t>Příjemce: Olomouc</t>
  </si>
  <si>
    <t xml:space="preserve">  Ministerstvo pro místní rozvoj ČR</t>
  </si>
  <si>
    <t>Finanční vypořádání dotací poskytnutých obcím a dobrovolným svazkům obcí, krajům nebo hlavnímu městu Praze</t>
  </si>
  <si>
    <t xml:space="preserve">a z prostředků finančních mechanismů </t>
  </si>
  <si>
    <t>Poskytnuto 
celkem
k 31.12. roku,
v němž byl
projekt ukončen</t>
  </si>
  <si>
    <t>Čerpáno
celkem
k 31.12. roku,
v němž byl
projekt ukončen</t>
  </si>
  <si>
    <t>Použito
celkem
k 31.12. roku,
v němž byl
projekt ukončen</t>
  </si>
  <si>
    <t xml:space="preserve">Vratka dotace
při finančním 
vypořádání </t>
  </si>
  <si>
    <t>4 = 2 - 3</t>
  </si>
  <si>
    <t>B 1. Neinvestiční dotace celkem</t>
  </si>
  <si>
    <t xml:space="preserve">v tom: </t>
  </si>
  <si>
    <t>CZ.1.06/5.3.00/01.00092</t>
  </si>
  <si>
    <t>Pořízení územně analytických podkladů správního území ORP Olomouc</t>
  </si>
  <si>
    <t>ISPROFIN</t>
  </si>
  <si>
    <t>B.3. Dotace celkem (B .1. + B.2.)</t>
  </si>
  <si>
    <t>ale není totožný se správcem kapitoly</t>
  </si>
  <si>
    <t>sloupec 1 - uvádí se celkový objem dotací stanovených v rozhodnutích event. dohodách nebo smlouvách o poskytnutí dotace za celou dobu trvání projektu</t>
  </si>
  <si>
    <t>sloupec 3 - uvádí se celkový objem skutečně použitých prostředků příjemcem z poskytnutých dotací k 31.12. roku, v němž byl projekt ukončen</t>
  </si>
  <si>
    <t xml:space="preserve">sloupec 4 - uvádí se výše případné vratky dotace při finančním vypořádání; rovná se sloupec 2 minus sloupec 3 </t>
  </si>
  <si>
    <t>Sestavil:   Ing. Vladislav Vlasák</t>
  </si>
  <si>
    <t>Datum a podpis:  27.1.2010</t>
  </si>
  <si>
    <r>
      <t>Poskytovatel</t>
    </r>
    <r>
      <rPr>
        <vertAlign val="superscript"/>
        <sz val="10"/>
        <rFont val="Arial CE"/>
        <family val="2"/>
      </rPr>
      <t xml:space="preserve">1:   </t>
    </r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</si>
  <si>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</si>
  <si>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r>
      <t>B.2.  Investiční dotace</t>
    </r>
    <r>
      <rPr>
        <sz val="10"/>
        <rFont val="Arial CE"/>
        <family val="2"/>
      </rPr>
      <t xml:space="preserve"> celkem</t>
    </r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</si>
  <si>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</t>
    </r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</si>
  <si>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</si>
  <si>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Státní zemědělský intervenční fond (SZIF)</t>
  </si>
  <si>
    <t>07/002/1123a/671/002296/1</t>
  </si>
  <si>
    <t>Celková oprava lesní cesty Horecká</t>
  </si>
  <si>
    <t>SZIF program rozvoje venkova ČR na období 2007 - 2013</t>
  </si>
  <si>
    <t>08/003/2242a/671/000103/1</t>
  </si>
  <si>
    <t>Celková oprava lesního hřiště robinzonádního typu"Bělidla"</t>
  </si>
  <si>
    <r>
      <t>Poskytovatel</t>
    </r>
    <r>
      <rPr>
        <vertAlign val="superscript"/>
        <sz val="10"/>
        <rFont val="Arial CE"/>
        <family val="2"/>
      </rPr>
      <t xml:space="preserve">1: </t>
    </r>
  </si>
  <si>
    <t>navýšení: zdroje města 155 tis. Kč, st. dotace MŽP 2.731.355,- Kč ÚZ 15065 na "Program - příspěvek zoolog. zahradám"</t>
  </si>
  <si>
    <t>Moravské divadlo</t>
  </si>
  <si>
    <t>3311-5331-1150</t>
  </si>
  <si>
    <t>navýšení: účelová  dotace MK ČR 4.410 tis. Kč na provoz divadla           ÚZ 34352, zdroje města 3.612 tis. Kč, dotace Olomouckého kraje  1.532 tis. Kč ÚZ 200</t>
  </si>
  <si>
    <t>Divadlo hudby</t>
  </si>
  <si>
    <t>3311-5331-1160</t>
  </si>
  <si>
    <t>navýšení: zdroje města 215 tis. Kč, dotace Olomouc. kraje 80 tis. Kč ÚZ 212</t>
  </si>
  <si>
    <t>Moravská filharmonie</t>
  </si>
  <si>
    <t>3312-5331-1170</t>
  </si>
  <si>
    <t>Knihovna města Olomouce</t>
  </si>
  <si>
    <t>3314-5331-1180</t>
  </si>
  <si>
    <t>Příloha č. 1</t>
  </si>
  <si>
    <t>str. 1</t>
  </si>
  <si>
    <t>Příloha č. 2</t>
  </si>
  <si>
    <t>Příloha č. 3</t>
  </si>
  <si>
    <t>Příloha č. 4</t>
  </si>
  <si>
    <t>str. 9</t>
  </si>
  <si>
    <t>Příloha č. 5</t>
  </si>
  <si>
    <r>
      <t>ÚZ 36117870</t>
    </r>
    <r>
      <rPr>
        <sz val="8"/>
        <rFont val="Arial Narrow"/>
        <family val="2"/>
      </rPr>
      <t xml:space="preserve"> MMR ČR na akci "Pořízení územně analytických podkladů správního území ORP Olomouc"</t>
    </r>
  </si>
  <si>
    <r>
      <t xml:space="preserve">ÚZ 36517871 </t>
    </r>
    <r>
      <rPr>
        <sz val="8"/>
        <rFont val="Arial Narrow"/>
        <family val="2"/>
      </rPr>
      <t>MMR ČR na akci "Pořízení územně analytických podkladů správního území ORP Olomouc"</t>
    </r>
  </si>
  <si>
    <r>
      <t xml:space="preserve">ÚZ 29516 </t>
    </r>
    <r>
      <rPr>
        <sz val="8"/>
        <rFont val="Arial Narrow"/>
        <family val="2"/>
      </rPr>
      <t>MZe ČR na akci "Lesní hosp. osnovy - jih" (193.089,-- Kč) a  "Lesní hosp. osnovy - sever" (297.500,-- Kč)</t>
    </r>
  </si>
  <si>
    <r>
      <t xml:space="preserve">ÚZ 34908 </t>
    </r>
    <r>
      <rPr>
        <sz val="8"/>
        <rFont val="Arial Narrow"/>
        <family val="2"/>
      </rPr>
      <t>MK ČR na zpřístupnění kostela Církve československé husitské v Olomouci - Hodolanech (limitní účet)</t>
    </r>
  </si>
  <si>
    <r>
      <t xml:space="preserve">ÚZ 14876 </t>
    </r>
    <r>
      <rPr>
        <sz val="8"/>
        <rFont val="Arial Narrow"/>
        <family val="2"/>
      </rPr>
      <t>MV ČR na akci "Rozšíření kamerového systému - etapa VIII" (limitní účet)</t>
    </r>
  </si>
  <si>
    <r>
      <t xml:space="preserve">ÚZ 14907 </t>
    </r>
    <r>
      <rPr>
        <sz val="8"/>
        <rFont val="Arial Narrow"/>
        <family val="2"/>
      </rPr>
      <t>MV ČR na akci "SmOl - elektronické sirény" (limitní účet)</t>
    </r>
  </si>
  <si>
    <r>
      <t>ÚZ 38587505</t>
    </r>
    <r>
      <rPr>
        <sz val="8"/>
        <rFont val="Arial Narrow"/>
        <family val="2"/>
      </rPr>
      <t xml:space="preserve"> Evropský fond (prostředky EU) na projekt "Přednádražní prostor" (24.120.232,17 Kč) a na projekt</t>
    </r>
  </si>
  <si>
    <r>
      <t>ÚZ 38187501</t>
    </r>
    <r>
      <rPr>
        <sz val="8"/>
        <rFont val="Arial Narrow"/>
        <family val="2"/>
      </rPr>
      <t xml:space="preserve"> Evropský fond (prostředky SR) na projekt "Přednádražní prostor" (1.402.234,34 Kč) a na projekt</t>
    </r>
  </si>
  <si>
    <t>Upravený rozpočet                                        k 16. 9. 2008</t>
  </si>
  <si>
    <t>01 - kancelář primátora</t>
  </si>
  <si>
    <t>TJ Lokomotiva o. s. - rekonstrukce zázemí areálu</t>
  </si>
  <si>
    <t>Vodovod Pomoraví - členský podíl svazku obcí</t>
  </si>
  <si>
    <t>realizuje odbor investic - ZP 026 - platba                  ze ZBÚ</t>
  </si>
  <si>
    <t>Zdrav. záchranná služba Olomouckého kraje - pořízení defibrilátoru LFPK 12</t>
  </si>
  <si>
    <t>ZŠ a MŠ Demlova - rekonstrukce fasády a výměna boletických panelů</t>
  </si>
  <si>
    <t>ZŠ Zeyerova - mycí stroj s příslušenstvím</t>
  </si>
  <si>
    <t>Bratří Wolfů, Zikmundova - komunikace</t>
  </si>
  <si>
    <t>Brněnská - Jánského - chodník</t>
  </si>
  <si>
    <t>Cyklostezky</t>
  </si>
  <si>
    <t>Darwinova - rekonstrukce komunikace a inženýrských sítí</t>
  </si>
  <si>
    <t>Dolní náměstí - stavební úpravy</t>
  </si>
  <si>
    <t>Dvorského - Holubova - chodník</t>
  </si>
  <si>
    <t>Dvořákova ul. - vnitroblok</t>
  </si>
  <si>
    <t>Energetická opatření - objekty OŠ</t>
  </si>
  <si>
    <t>Fakultní ZŠ Tererovo nám. 1 - energetická opatření</t>
  </si>
  <si>
    <t>Foerstrova - obslužný záliv</t>
  </si>
  <si>
    <t>Gen. Píky - rekonstrukce komunikace a inženýrských sítí</t>
  </si>
  <si>
    <t xml:space="preserve">ZŠ Rožňavská - rekonstrukce hřiště </t>
  </si>
  <si>
    <t>Příspěvek paní E. Kacanů na nákup elektrického vozíku</t>
  </si>
  <si>
    <t>Schválený rozpočet                 na rok 2009                   v tis. Kč</t>
  </si>
  <si>
    <t>Upravený rozpočet                      k 29.9..2009                             v Kč</t>
  </si>
  <si>
    <t>Upravený rozpočet                       k 13.10.2009                             v Kč</t>
  </si>
  <si>
    <t>Nákup pozemků</t>
  </si>
  <si>
    <t xml:space="preserve"> Obnova radiokomunikační sítě</t>
  </si>
  <si>
    <t>Alcotester</t>
  </si>
  <si>
    <t>E - nestavební investice</t>
  </si>
  <si>
    <t>DIL CZECH LEASING, koncernová s. r. o.</t>
  </si>
  <si>
    <t>realizuje majetkoprávní odbor</t>
  </si>
  <si>
    <t>Lesní hospodářské osnovy - jih</t>
  </si>
  <si>
    <t>Lesní hospodářské osnovy - sever</t>
  </si>
  <si>
    <t>Hálkova 20 - stavební úpravy 2 NP - pořízení telefonní ústředny</t>
  </si>
  <si>
    <t>Hlasové sirény</t>
  </si>
  <si>
    <t>realizuje odbor ochrany</t>
  </si>
  <si>
    <t>Jednotný systém značení památek a památných domů</t>
  </si>
  <si>
    <t>realizuje odbor vnějších vztahů a informací</t>
  </si>
  <si>
    <t>Kamerový systém - MP</t>
  </si>
  <si>
    <t>Kanalizační sběrač AII</t>
  </si>
  <si>
    <t>Kapitálový vstup SmOl do SK Sigma Olomouc</t>
  </si>
  <si>
    <t>Nákup 2 ks vozidel</t>
  </si>
  <si>
    <t>Městská policie - digitální kopírka SHARP AR - M207</t>
  </si>
  <si>
    <t xml:space="preserve">Městská policie - kamerový systém  </t>
  </si>
  <si>
    <t>realizuje odbor sociálních služeb a zdrav.</t>
  </si>
  <si>
    <t>Obnova radiokomunikační sítě MPO</t>
  </si>
  <si>
    <t>Pořízení informační a výpočetní techniky</t>
  </si>
  <si>
    <t>Název organizace</t>
  </si>
  <si>
    <t>§, položky, org.</t>
  </si>
  <si>
    <t>Schválený rozpočet na rok 2009</t>
  </si>
  <si>
    <t>Upravený rozpočet              k 17.12.2009</t>
  </si>
  <si>
    <t>Čerpání                    k 31.12.2009</t>
  </si>
  <si>
    <t>ZOO Olomouc</t>
  </si>
  <si>
    <t>3741-5331-1077</t>
  </si>
  <si>
    <t>ZŠ Holečkova - odstranění statických poruch II.etapa</t>
  </si>
  <si>
    <t>ZŠ Mozartova  - školní družina</t>
  </si>
  <si>
    <t>Kanalizace - rekonstrukce odlehčovací komory OK3A</t>
  </si>
  <si>
    <t>Kanalizační přípojky - FS II</t>
  </si>
  <si>
    <t>Kasárna Neředín - II.etapa</t>
  </si>
  <si>
    <t>realizuje Městská policie</t>
  </si>
  <si>
    <t>Keplerova  - chodník pro pěší</t>
  </si>
  <si>
    <t>24854</t>
  </si>
  <si>
    <t>Krakovská - rekonstrukce komunikace a inženýrských sítí</t>
  </si>
  <si>
    <t>Lošov, ul. Svolinského - chodník a autobusová točna</t>
  </si>
  <si>
    <t>Lužická - parkoviště</t>
  </si>
  <si>
    <t>MDO - rekonstrukce rozvoden scénické technologie</t>
  </si>
  <si>
    <t>MDO - zkušebna</t>
  </si>
  <si>
    <t>Moravská cyklotrasa - Křelov trasa D</t>
  </si>
  <si>
    <t>Mošnerova - Za vodojemem - chodník</t>
  </si>
  <si>
    <t>Mošnerova - Okružní - propojení komunikace</t>
  </si>
  <si>
    <t>Mošnerova  - rekonstrukce komunikace</t>
  </si>
  <si>
    <t>MŠ Bieblova  - energetická opatření</t>
  </si>
  <si>
    <t>MŠ Dělnická - energetická opatření</t>
  </si>
  <si>
    <t>MŠ I. Herrmanna - energetická opatření</t>
  </si>
  <si>
    <t>MŠ Jílová - energetická opatření</t>
  </si>
  <si>
    <t>MŠ Lužická - energetická opatření</t>
  </si>
  <si>
    <t>MŠ Wolkerova - energetická opatření</t>
  </si>
  <si>
    <t>24294</t>
  </si>
  <si>
    <t>Multifunkční hala</t>
  </si>
  <si>
    <t>25033</t>
  </si>
  <si>
    <t>Na Pažitu - sjezd</t>
  </si>
  <si>
    <t>25008</t>
  </si>
  <si>
    <t>Na Zákopě - Boží muka</t>
  </si>
  <si>
    <t>Neředínská, U dvora, Letců - rekonstrukce komunikace a inženýrských sítí</t>
  </si>
  <si>
    <t>Obnova zeleně v olomouckých historických parcích, Rudolfova alej</t>
  </si>
  <si>
    <t>Tabulka č.1d</t>
  </si>
  <si>
    <t>Obec (DSO):</t>
  </si>
  <si>
    <t>Přehled o komunálních obligacích emitovaných obcemi v roce 2009</t>
  </si>
  <si>
    <t>(v mil. Kč)</t>
  </si>
  <si>
    <t>Úroková sazba</t>
  </si>
  <si>
    <t>Obec</t>
  </si>
  <si>
    <t>Rok</t>
  </si>
  <si>
    <t>Povoleno</t>
  </si>
  <si>
    <t>Emitováno</t>
  </si>
  <si>
    <t>Splatnost</t>
  </si>
  <si>
    <t>Účel použití</t>
  </si>
  <si>
    <t>Zadluženost k 31.12.2009</t>
  </si>
  <si>
    <t>5</t>
  </si>
  <si>
    <t>O b e c  (DSO)   c e l k e m</t>
  </si>
  <si>
    <t>Vypracoval:</t>
  </si>
  <si>
    <t>Schválil:</t>
  </si>
  <si>
    <t>Ministerstvo financí</t>
  </si>
  <si>
    <t>Tabulka 5</t>
  </si>
  <si>
    <t>Letenská 15</t>
  </si>
  <si>
    <t>Praha 1</t>
  </si>
  <si>
    <t>odbor 12</t>
  </si>
  <si>
    <t>Finanční vypořádání dotace na výkon sociálně-právní ochrany dětí se státním rozpočtem za rok 2009</t>
  </si>
  <si>
    <t xml:space="preserve">Kraj: </t>
  </si>
  <si>
    <t>Olomoucký</t>
  </si>
  <si>
    <t>Obec:</t>
  </si>
  <si>
    <t>Olomouc</t>
  </si>
  <si>
    <t>ÚZ</t>
  </si>
  <si>
    <t>Poskytnuto
k 31.12.2009</t>
  </si>
  <si>
    <t>Použito
k 31.12.2009</t>
  </si>
  <si>
    <t>Vratka dotace při finančním vypořádání</t>
  </si>
  <si>
    <t>Požadavek na doplatek</t>
  </si>
  <si>
    <t xml:space="preserve">sloupec 1 - uvádí se účelový znak dotace </t>
  </si>
  <si>
    <t>platba KÚ OK - stavební příspěvky (faktura stavebního odboru MMOl)</t>
  </si>
  <si>
    <t>ostatní neinvestiční příjaté transfery ze státního rozpočtu</t>
  </si>
  <si>
    <t>(dotace nebyla ze strany státu plně dofinancována)</t>
  </si>
  <si>
    <t>ostatní neinvestiční příjaté transfery od rozpočtů ústřední úrovně</t>
  </si>
  <si>
    <t>neinvestiční transfery od obcí</t>
  </si>
  <si>
    <t>školství, platby obcí za cizí žáky</t>
  </si>
  <si>
    <t>úhrady od obecních úřadů za výkon státní správy</t>
  </si>
  <si>
    <t>neinvestiční přijaté transfery od krajů</t>
  </si>
  <si>
    <t>neinvestiční přijaté transfery od regionálních rad</t>
  </si>
  <si>
    <t>převod z vlastní hospodářské činnosti (80 %)</t>
  </si>
  <si>
    <t xml:space="preserve"> 400.000,-- Kč; SLMO 4.070.000,-- Kč</t>
  </si>
  <si>
    <t>převody z ostatních vlastních fondů (depozit)</t>
  </si>
  <si>
    <t xml:space="preserve">7,5 mil. Kč firma EKO-KOM na odpadové hospodářství (OŽP); 669.447,55 Kč projekt INTERREG IIIC (OVVI); 338.895,-- Kč                                    </t>
  </si>
  <si>
    <t xml:space="preserve">na změny územního plánu (OKR); 34.532,-- Kč náhradní výsadby (OŽP) </t>
  </si>
  <si>
    <t>investiční příjaté transfery z všeob. pokl. správy stát. rozpočtu</t>
  </si>
  <si>
    <t>investiční příjaté transfery ze státních fondů</t>
  </si>
  <si>
    <t>ostatní investiční přijaté transfery ze státního rozpočtu</t>
  </si>
  <si>
    <t>investiční převody z Národního fondu</t>
  </si>
  <si>
    <t>investiční přijaté transfery od regionálních rad</t>
  </si>
  <si>
    <t>"Koordinace a řízení IPRÚ" (151.725,-- Kč)</t>
  </si>
  <si>
    <t>"Koordinace a řízení IPRÚ" (26.775,-- Kč)</t>
  </si>
  <si>
    <t>Schválený  rozpočet                     na rok 2009                                       v tis. Kč</t>
  </si>
  <si>
    <t>Upravený rozpočet               k 29.9.2009                        v Kč</t>
  </si>
  <si>
    <t xml:space="preserve">změna </t>
  </si>
  <si>
    <t>Upravený rozpočet                  k 13.10.2009                   v Kč</t>
  </si>
  <si>
    <t>A - stavební investice</t>
  </si>
  <si>
    <t>Bezbariérové úpravy komunikací - trasa J</t>
  </si>
  <si>
    <t>realizuje odbor investic</t>
  </si>
  <si>
    <t>Blanická, Nové Hodolany - dětské hřiště</t>
  </si>
  <si>
    <t>Bří. Wolfů - prodloužení komunikace</t>
  </si>
  <si>
    <t>Darwinova ul. - rekonstrukce komunikace a inženýrských sítí</t>
  </si>
  <si>
    <t>Dětská hřiště</t>
  </si>
  <si>
    <t>Droždín - Horní Úlehla - přístřešek MHD</t>
  </si>
  <si>
    <t>realizuje odbor dopravy</t>
  </si>
  <si>
    <t>DPS Slavonín</t>
  </si>
  <si>
    <t>Foerstrova  - Svornosti - malá parkoviště</t>
  </si>
  <si>
    <t>Hálkova 20 - rekonstrukce vchodu B</t>
  </si>
  <si>
    <t xml:space="preserve">Hálkova 20 - rekonstrukce výtahu                                                                                      </t>
  </si>
  <si>
    <t>Hálkova 4 - půdní vestavba</t>
  </si>
  <si>
    <t>Hamerská 1, Holice - zastávka MHD</t>
  </si>
  <si>
    <t>Hamerská 2, Holice - zastávka MHD</t>
  </si>
  <si>
    <t>Horecká - lesní cesta</t>
  </si>
  <si>
    <t>Hraniční, Nová Ulice - dětské hřiště</t>
  </si>
  <si>
    <t xml:space="preserve">Chválkovice - záchytné parkoviště </t>
  </si>
  <si>
    <t>Informační a orientační systém města Olomouce</t>
  </si>
  <si>
    <t>Tabulka č.1b</t>
  </si>
  <si>
    <t>Obec, svazek obcí:</t>
  </si>
  <si>
    <t>termín odevzdání: 20. 2. 2010</t>
  </si>
  <si>
    <t>Přehled úvěrů, půjček a návratných finančních výpomocí přijatých obcemi a dobrovolnými svazky obcí od peněžních ústavů, jiných fyzických a právnických osob v roce 2009 (bez ústředních orgánů státní správy a státních fondů)</t>
  </si>
  <si>
    <t>(v tis. Kč)</t>
  </si>
  <si>
    <t>Účel úvěru</t>
  </si>
  <si>
    <t>Výše úvěru a NFV 
(v tis Kč)*</t>
  </si>
  <si>
    <t>Poskytovatel úvěru</t>
  </si>
  <si>
    <t>Termín splatnosti</t>
  </si>
  <si>
    <t>Výše</t>
  </si>
  <si>
    <t>Název obce (DSO)</t>
  </si>
  <si>
    <t>úroku</t>
  </si>
  <si>
    <r>
      <t xml:space="preserve">ÚZ 15065 </t>
    </r>
    <r>
      <rPr>
        <sz val="8"/>
        <rFont val="Arial Narrow"/>
        <family val="2"/>
      </rPr>
      <t xml:space="preserve">MŽP ČR pro ZOO Sv. Kopeček v rámci programu "Příspěvky zoologickým zahradám v roce 2009" </t>
    </r>
  </si>
  <si>
    <r>
      <t xml:space="preserve">ÚZ 07121 </t>
    </r>
    <r>
      <rPr>
        <sz val="8"/>
        <rFont val="Arial Narrow"/>
        <family val="2"/>
      </rPr>
      <t>Ministerstvo obrany ČR na opravu pohřebiště obětí 2. světové války (limitní účet)</t>
    </r>
  </si>
  <si>
    <r>
      <t xml:space="preserve">ÚZ 22005 </t>
    </r>
    <r>
      <rPr>
        <sz val="8"/>
        <rFont val="Arial Narrow"/>
        <family val="2"/>
      </rPr>
      <t>MPO ČR na výkon činnosti jednotných kontaktních míst</t>
    </r>
  </si>
  <si>
    <r>
      <t>ÚZ 4444</t>
    </r>
    <r>
      <rPr>
        <sz val="8"/>
        <rFont val="Arial Narrow"/>
        <family val="2"/>
      </rPr>
      <t xml:space="preserve"> Západočeská univerzita v Plzni na projekt "Plan4all"</t>
    </r>
  </si>
  <si>
    <r>
      <t xml:space="preserve">bez ÚZ, </t>
    </r>
    <r>
      <rPr>
        <sz val="8"/>
        <rFont val="Arial Narrow"/>
        <family val="2"/>
      </rPr>
      <t>Univerzita Palackého v Olomouci na projekt "Odborová prostrupnost a modularizace studijních programů"</t>
    </r>
  </si>
  <si>
    <r>
      <t>ÚZ 00501</t>
    </r>
    <r>
      <rPr>
        <sz val="8"/>
        <rFont val="Arial Narrow"/>
        <family val="2"/>
      </rPr>
      <t xml:space="preserve"> na aktivity projektu EUROPE DIRECT</t>
    </r>
  </si>
  <si>
    <r>
      <t>ÚZ 00327</t>
    </r>
    <r>
      <rPr>
        <sz val="8"/>
        <rFont val="Arial Narrow"/>
        <family val="2"/>
      </rPr>
      <t xml:space="preserve"> Moravskoslezský kraj pro SLMO na hospodaření v lesích, </t>
    </r>
    <r>
      <rPr>
        <b/>
        <sz val="8"/>
        <rFont val="Arial Narrow"/>
        <family val="2"/>
      </rPr>
      <t>ZJ 028</t>
    </r>
  </si>
  <si>
    <r>
      <t>ÚZ 00550</t>
    </r>
    <r>
      <rPr>
        <sz val="8"/>
        <rFont val="Arial Narrow"/>
        <family val="2"/>
      </rPr>
      <t xml:space="preserve"> KÚ OK pro SLMO na hospodaření v lesích na území Olomouckého kraje</t>
    </r>
  </si>
  <si>
    <r>
      <t xml:space="preserve">ÚZ 00204 </t>
    </r>
    <r>
      <rPr>
        <sz val="8"/>
        <rFont val="Arial Narrow"/>
        <family val="2"/>
      </rPr>
      <t>pro KMO na zjištění regionálních funkcí knihoven</t>
    </r>
  </si>
  <si>
    <r>
      <t xml:space="preserve">ÚZ14004 </t>
    </r>
    <r>
      <rPr>
        <sz val="8"/>
        <rFont val="Arial Narrow"/>
        <family val="2"/>
      </rPr>
      <t>prostředky Generálního ředitelstvi HZS pro JSDH na školení a vzdělávání (28.345,-- Kč);</t>
    </r>
  </si>
  <si>
    <r>
      <t xml:space="preserve">ÚZ 00200 </t>
    </r>
    <r>
      <rPr>
        <sz val="8"/>
        <rFont val="Arial Narrow"/>
        <family val="2"/>
      </rPr>
      <t>pro Moravskou filharmonii 334 tis. Kč; pro Moravské divadlo 1.532 tis. Kč</t>
    </r>
  </si>
  <si>
    <r>
      <t xml:space="preserve">ÚZ 00212 </t>
    </r>
    <r>
      <rPr>
        <sz val="8"/>
        <rFont val="Arial Narrow"/>
        <family val="2"/>
      </rPr>
      <t>pro Moravskou filharmonii 950 tis. Kč; pro Divadlo hudby 80 tis. Kč</t>
    </r>
  </si>
  <si>
    <r>
      <t xml:space="preserve">ÚZ 00001 </t>
    </r>
    <r>
      <rPr>
        <sz val="8"/>
        <rFont val="Arial Narrow"/>
        <family val="2"/>
      </rPr>
      <t>pro Moravskou filharmonii 1 mil. Kč (projekt "Koncerty v regionu")</t>
    </r>
  </si>
  <si>
    <t>§</t>
  </si>
  <si>
    <t xml:space="preserve">% čerpání </t>
  </si>
  <si>
    <t>UR mínus úspora</t>
  </si>
  <si>
    <t>Hejčínské louky - inline stezka</t>
  </si>
  <si>
    <t>Hřbitovy města Olomouce</t>
  </si>
  <si>
    <t xml:space="preserve">Chodníky </t>
  </si>
  <si>
    <t>Chomoutov - průtah</t>
  </si>
  <si>
    <t xml:space="preserve">Chválkovice - rekonstrukce hasičské zbrojnice v Olomouci </t>
  </si>
  <si>
    <t xml:space="preserve">Informační centrum - rekonstrukce </t>
  </si>
  <si>
    <t>Jantarová stezka - úsek Hodolanská - Libušina</t>
  </si>
  <si>
    <t>Ječmínkova, Na Dílkách - rekonstrukce komunikace</t>
  </si>
  <si>
    <t>Jižní - Zolova - chodník u ZŠ</t>
  </si>
  <si>
    <t>Parkoviště (u VFO)</t>
  </si>
  <si>
    <t>Příjezdová komunikace k VFO</t>
  </si>
  <si>
    <t>Realizace úspor energie</t>
  </si>
  <si>
    <t>Rekonstrukce IC Olomouc</t>
  </si>
  <si>
    <t>Rezerva na přípravu projektů</t>
  </si>
  <si>
    <t>Rozvoj výstaviště Flora</t>
  </si>
  <si>
    <t xml:space="preserve">Turistický multimediální průvodce Olomoucí </t>
  </si>
  <si>
    <t>WC v Čechových sadech</t>
  </si>
  <si>
    <t>Značení památek a památných domů</t>
  </si>
  <si>
    <t>Značení prohlídkových tras</t>
  </si>
  <si>
    <t>ZOO Olomouc - informační systém</t>
  </si>
  <si>
    <t>Schválený rozpočet                         na rok 2009                         v tis. Kč</t>
  </si>
  <si>
    <t>Upravený rozpočet               k 29.9.2009                            v Kč</t>
  </si>
  <si>
    <t xml:space="preserve">Změna </t>
  </si>
  <si>
    <t>Upravený rozpočet                      k 13.10.2009                                            v Kč</t>
  </si>
  <si>
    <t>D - ostatní nákup dlouhodobého nehmotného majetku - realizuje odbor koncepce a rozvoje</t>
  </si>
  <si>
    <t>Aktualizace cenové mapy</t>
  </si>
  <si>
    <t>Free-stylová hala</t>
  </si>
  <si>
    <t>Holický les</t>
  </si>
  <si>
    <t>Model dopravy města Olomouce</t>
  </si>
  <si>
    <t>Parkovací objekt Svatý Kopeček</t>
  </si>
  <si>
    <t>Územní plán Olomouce</t>
  </si>
  <si>
    <t>Pořízení změn ÚPnSÚ</t>
  </si>
  <si>
    <t>Pořízení změn regulačního plánu MPR</t>
  </si>
  <si>
    <t>Pořízení změny reg. plánu Povel Čtvrtky</t>
  </si>
  <si>
    <t>Rozvoj dopravní obslužnosti</t>
  </si>
  <si>
    <t>Studie silniční sítě</t>
  </si>
  <si>
    <t>Studie regenerace a revitalizace sídliště - část Povel</t>
  </si>
  <si>
    <t>Územně plánovací podklady</t>
  </si>
  <si>
    <t>Územně analytické podklady</t>
  </si>
  <si>
    <t xml:space="preserve">org. </t>
  </si>
  <si>
    <t>pol.</t>
  </si>
  <si>
    <t>Název stavby</t>
  </si>
  <si>
    <t>ZŠ Petřkova - rekonstrukce výdejny stravy</t>
  </si>
  <si>
    <t>ZŠ a MŠ Petřkova - energetická opatření</t>
  </si>
  <si>
    <t>ZŠ a MŠ Řezníčkova 1 - energetická opatření</t>
  </si>
  <si>
    <t>ZŠ Stupkova - energetická opatření</t>
  </si>
  <si>
    <t>ZŠ Zeyerova  - výdejna stravy</t>
  </si>
  <si>
    <t>ZŠ Zeyerova 28 - energetické opatření</t>
  </si>
  <si>
    <t xml:space="preserve">ZŠ Zeyerova - rekonstrukce koridoru </t>
  </si>
  <si>
    <t>Zámečnická ul. - propojení tramvajové trati</t>
  </si>
  <si>
    <t>Za Školou - rekonstrukce komunikace a inženýrských sítí</t>
  </si>
  <si>
    <t>24981</t>
  </si>
  <si>
    <t>Za Vodojemem - parkoviště</t>
  </si>
  <si>
    <t>Zabezpečení kanalizace - Novosadský Dvůr</t>
  </si>
  <si>
    <t>Zimní stadion</t>
  </si>
  <si>
    <t xml:space="preserve">ZOO Olomouc Svatý Kopeček - projekt inženýrských sítí </t>
  </si>
  <si>
    <t>ZŠ Demlova 18 - energetická opatření</t>
  </si>
  <si>
    <t>ZŠ Dr. Nedvěda - energetická opatření</t>
  </si>
  <si>
    <t>Generála Píky - rekonstrukce komunikace a inženýrských sítí</t>
  </si>
  <si>
    <t>Kasárna Neředín - II. etapa</t>
  </si>
  <si>
    <t>C - ostatní nákup dlouhodobého nehmotného majetku - realizuje odbor evropských projektů</t>
  </si>
  <si>
    <t>Centrální informační systém</t>
  </si>
  <si>
    <t>IPRM vyvážený rozvoj města a rozvoj sociální infrastruktury</t>
  </si>
  <si>
    <t>IPRM (integrovaný plán rozvoje města), IPRÚ</t>
  </si>
  <si>
    <t>Lávky v Bezručových sadech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</si>
  <si>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</si>
  <si>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</si>
  <si>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</si>
  <si>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</si>
  <si>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tržba za kopírování na veřejné kopírce na Hynaisově ulici</t>
  </si>
  <si>
    <t>platby občanů za používání internetu</t>
  </si>
  <si>
    <t>tržba za prodej publikace "Sloup Nejsvětější Trojice v Olomouci" v rámci hlavní činnosti (mimo HČ)</t>
  </si>
  <si>
    <t>tržby za prodej publikace "Olomouc pro nevidomé" a turistické karty (OVVI)</t>
  </si>
  <si>
    <t>za poskytování informací dle zákona č. 106/1999 Sb. o svobodném přístupu k informacím</t>
  </si>
  <si>
    <t>úhrada Krajského úřadu Olomouckého kraje (v rámci projektu "Program obnovy venkova")</t>
  </si>
  <si>
    <t>úhrada KÚ OK (fakturace odboru životního prosředí na monitoring ochrany ovzduší)</t>
  </si>
  <si>
    <t xml:space="preserve"> 4.528,-- Kč Ing. L. Cekr (smluvní pokuta - PD k akci "Lávka Poděbrady - Chomoutov")</t>
  </si>
  <si>
    <t>úhrada KÚ OK (fakturace odboru sociálních služeb a zdravotnictví  na základě smluv o zajištění poskytování</t>
  </si>
  <si>
    <t>sociálních služeb)</t>
  </si>
  <si>
    <t>platby obcí za služby a práce spojené s administrací zpracování žádostí o dotace v rámci e-Government (CZECH POINT)</t>
  </si>
  <si>
    <t>příjmy z prodeje zboží</t>
  </si>
  <si>
    <t>odb. soc. služeb a zdravotnictví - příjmy z prodeje tiskopisů receptů</t>
  </si>
  <si>
    <t>odvody příspěvkových organizací</t>
  </si>
  <si>
    <t>Moravské divadlo 10.363 tis. Kč; Divadlo hudby 592 tis. Kč; ZOO Sv. Kopeček 285 tis. Kč; Hřbitovy města</t>
  </si>
  <si>
    <t>Olomouce 2.377 tis. Kč; Moravská filharmonie 1.068 tis. Kč; Knihovna města Olomouce 2.513,8 tis. Kč, Správa</t>
  </si>
  <si>
    <t>lesů města Olomouce 4.014 tis. Kč</t>
  </si>
  <si>
    <t>příjmy z úroků</t>
  </si>
  <si>
    <t>příjmy z podílů na zisku a dividend</t>
  </si>
  <si>
    <t>realizované kurzové zisky</t>
  </si>
  <si>
    <t>přijaté sankční platby</t>
  </si>
  <si>
    <t>smluvní pokuta, hrazená firmou REA za nedodržení termínu zakázky</t>
  </si>
  <si>
    <t>ostatní příjmy z FV předch. let od jiných veř. rozpočtů</t>
  </si>
  <si>
    <t>Finanční úřad - vratka DPH za předešlé zúčtovací období</t>
  </si>
  <si>
    <t>Olomoucký kraj - doplatek výdajů na volby do Senátu a krajských zastupitelstev, konaných v r. 2008</t>
  </si>
  <si>
    <t>ostatní přijaté vratky transferů</t>
  </si>
  <si>
    <t xml:space="preserve">vratky transferů z předešlých období </t>
  </si>
  <si>
    <t>vratky sociálních dávek</t>
  </si>
  <si>
    <t>příjmy z prodeje krátkod. a drobného dlouhodob. majetku</t>
  </si>
  <si>
    <t>odbor AŘMV - odprodej výbavy zkušebního komisaře</t>
  </si>
  <si>
    <t>přijaté neinvestiční dary</t>
  </si>
  <si>
    <t>12 tis. Kč firma Re GROUP, a. s. pro účely soutěže BESIP; 6 tis. Kč firma JESENIA Tour CK na Letecký den;</t>
  </si>
  <si>
    <t>Olomouc - rekonstrukce a dobudování stokové sítě II. část</t>
  </si>
  <si>
    <t>Vojanova, Nová Ulice - dětské hřiště</t>
  </si>
  <si>
    <t>Moravská cyklostezka na území obce s rozšířenou působností  - Olomouc</t>
  </si>
  <si>
    <t>Štítného ul. - rekonstrukce komunikace a inž. sítí</t>
  </si>
  <si>
    <t>MŠ Barevný svět Olomouc, Dělnická 17 b - rek. oplocení</t>
  </si>
  <si>
    <t xml:space="preserve">1 000 tis. Kč hraz.z nájemného;  50 tis. Kč ostatní zdroje </t>
  </si>
  <si>
    <t>Pol.</t>
  </si>
  <si>
    <t>Organizace</t>
  </si>
  <si>
    <t>Služby</t>
  </si>
  <si>
    <t>Upravený rozpočet              k 13.10.2009</t>
  </si>
  <si>
    <t>Upravený rozpočet              k 31.12.2009</t>
  </si>
  <si>
    <t>Čerpání                     k 31.12.2009</t>
  </si>
  <si>
    <t>úspora UR</t>
  </si>
  <si>
    <t>TSMO, a. s.</t>
  </si>
  <si>
    <t>opravy komunikací</t>
  </si>
  <si>
    <t>org. 10562; z toho zimní posypové služby 12.906 tis. (org. 105621)</t>
  </si>
  <si>
    <t>mandátní smlouva</t>
  </si>
  <si>
    <t>org.10569</t>
  </si>
  <si>
    <t>skládka materiálu</t>
  </si>
  <si>
    <t>org. 10563</t>
  </si>
  <si>
    <t>podzemní parkoviště</t>
  </si>
  <si>
    <t>org. 10564</t>
  </si>
  <si>
    <t>pasport MK</t>
  </si>
  <si>
    <t>org. 10565</t>
  </si>
  <si>
    <t>rozkopávky MK</t>
  </si>
  <si>
    <t>org. 10566</t>
  </si>
  <si>
    <t>výběr parkovného</t>
  </si>
  <si>
    <t>org. 10561</t>
  </si>
  <si>
    <t>DPMO, a. s.</t>
  </si>
  <si>
    <t>dopravní obslužnost</t>
  </si>
  <si>
    <t>org. 2671</t>
  </si>
  <si>
    <t xml:space="preserve">Veolia </t>
  </si>
  <si>
    <t>org. 2672</t>
  </si>
  <si>
    <t xml:space="preserve">Transport </t>
  </si>
  <si>
    <t>Morava, a. s.</t>
  </si>
  <si>
    <t>ostatní</t>
  </si>
  <si>
    <t>dotace tisku jízd. řádů</t>
  </si>
  <si>
    <t>org. 2673</t>
  </si>
  <si>
    <t>smluvní jízdné</t>
  </si>
  <si>
    <t>org. 2674 (DPMO, Veolia Transport Morava, ČD)</t>
  </si>
  <si>
    <t>objížďky, změny jízdních řádů</t>
  </si>
  <si>
    <t>org. 2675</t>
  </si>
  <si>
    <t>Schweitzerova - 2 přechody</t>
  </si>
  <si>
    <t>Schweitzerova - chodník,  přechody</t>
  </si>
  <si>
    <t>Skupova - rozšíření parkovacích stání</t>
  </si>
  <si>
    <t>Sladkovského - rekonstrukce komunikace a inženýrských sítí</t>
  </si>
  <si>
    <t>Slunečná  - rekonstrukce komunikace</t>
  </si>
  <si>
    <t>Sokolská 19 - stavební úpravy</t>
  </si>
  <si>
    <t>24892</t>
  </si>
  <si>
    <t>Svatoplukova 11 - rekonstrukce ZŠ, investiční záměr</t>
  </si>
  <si>
    <t xml:space="preserve">Svornosti - komunikace </t>
  </si>
  <si>
    <t xml:space="preserve">Šlechtitelů - chodník </t>
  </si>
  <si>
    <t>Štúrova - chodník</t>
  </si>
  <si>
    <t>Tererovo náměstí, okolí - rozšíření parkovacích možností</t>
  </si>
  <si>
    <t>Terera 3, 4 - rekonstrukce objektů</t>
  </si>
  <si>
    <t>Topolany - cyklostezka</t>
  </si>
  <si>
    <t>Trnkova - rozšíření parkovacích stání</t>
  </si>
  <si>
    <t>Týneček - Chválkovice - cyklostezka</t>
  </si>
  <si>
    <t>U Botanické zahrady - rekonstrukce parkovacích stání</t>
  </si>
  <si>
    <t>Ul. 1. máje - stavební úpravy komunikace</t>
  </si>
  <si>
    <t>Ul. Na Zákopě  - rekonstrukce komunikace a inženýrských sítí</t>
  </si>
  <si>
    <t>Upravený rozpočet                  k 31.12. 2009                   v Kč</t>
  </si>
  <si>
    <t>Čerpání                k 31.12.2009                  v Kč</t>
  </si>
  <si>
    <t>Upravený rozpočet                       k 31.12.2009                         v Kč</t>
  </si>
  <si>
    <t>CELKEM FINANCOVÁNÍ - třída 8</t>
  </si>
  <si>
    <t>PŘÍJMY - třída 1 až třída 4</t>
  </si>
  <si>
    <t>REKAPITULACE</t>
  </si>
  <si>
    <t>PŘÍJMY (třída 1 až 4)</t>
  </si>
  <si>
    <t>VÝDAJE (třída 5 a 6)</t>
  </si>
  <si>
    <t>ROZDÍL (třída 8)</t>
  </si>
  <si>
    <t xml:space="preserve">REKAPITULACE </t>
  </si>
  <si>
    <t>Ul. Táboritů - rekonstrukce komunikace</t>
  </si>
  <si>
    <t>V Hlinkách - parkoviště</t>
  </si>
  <si>
    <t>Velkomoravská  - vnitroblok - parkoviště</t>
  </si>
  <si>
    <t>Veřejné osvětlení</t>
  </si>
  <si>
    <t>Výběrová řízení</t>
  </si>
  <si>
    <t xml:space="preserve">Vybudování zabezp. oblasti pro zabezp. ochrany utajovaných informací  </t>
  </si>
  <si>
    <t>Výstaviště Flora Olomouc a. s. - rozvoj a rekonstrukce výstaviště</t>
  </si>
  <si>
    <t>str. 13 - 32</t>
  </si>
  <si>
    <t>Keplerova  - Stará Přerovská - propustek</t>
  </si>
  <si>
    <t>Kischova, Povel - dětské hřiště</t>
  </si>
  <si>
    <t>Klub seniorů U Hradeb - rekonstrukce klubových prostor</t>
  </si>
  <si>
    <t>realizuje odbor soc. služeb a zdravotnictví</t>
  </si>
  <si>
    <t>Čerpání                  k 31.12.2009                        v Kč</t>
  </si>
  <si>
    <t>Upravený rozpočet               k 31.12.2009                         v Kč</t>
  </si>
  <si>
    <t>Čerpání                     k 31.12.2009                       v Kč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</si>
</sst>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_-* #,##0\ _K_č_-;\-* #,##0\ _K_č_-;_-* &quot;-&quot;??\ _K_č_-;_-@_-"/>
    <numFmt numFmtId="167" formatCode="d/m/yy"/>
    <numFmt numFmtId="168" formatCode="#,##0\ _K_č"/>
    <numFmt numFmtId="169" formatCode="#\ ###\ ###\ ###"/>
    <numFmt numFmtId="170" formatCode="d/m\."/>
    <numFmt numFmtId="171" formatCode="#,##0_ ;[Red]\-#,##0\ "/>
    <numFmt numFmtId="172" formatCode="#,##0.000"/>
    <numFmt numFmtId="173" formatCode="#,##0\ &quot;Kč&quot;"/>
    <numFmt numFmtId="174" formatCode="#,##0_ ;\-#,##0\ "/>
    <numFmt numFmtId="175" formatCode="_-* #,##0.0\ _K_č_-;\-* #,##0.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[$-405]d\.\ mmmm\ yyyy"/>
    <numFmt numFmtId="215" formatCode="#,##0.00\ &quot;Kč&quot;"/>
    <numFmt numFmtId="216" formatCode="d/m"/>
    <numFmt numFmtId="217" formatCode="dd/mm/yy"/>
    <numFmt numFmtId="218" formatCode="#,##0.00;[Red]#,##0.00"/>
    <numFmt numFmtId="219" formatCode="General_)"/>
    <numFmt numFmtId="220" formatCode="###,###,###"/>
    <numFmt numFmtId="221" formatCode="####"/>
    <numFmt numFmtId="222" formatCode="##\ ###\ ###"/>
    <numFmt numFmtId="223" formatCode="###,###,###.###"/>
    <numFmt numFmtId="224" formatCode="0.000"/>
  </numFmts>
  <fonts count="6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8"/>
      <name val="Arial CE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7"/>
      <name val="Arial CE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Garamond"/>
      <family val="1"/>
    </font>
    <font>
      <sz val="10"/>
      <name val="Times New Roman"/>
      <family val="1"/>
    </font>
    <font>
      <sz val="12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color indexed="10"/>
      <name val="Arial"/>
      <family val="2"/>
    </font>
    <font>
      <sz val="8"/>
      <color indexed="14"/>
      <name val="Arial Narrow"/>
      <family val="2"/>
    </font>
    <font>
      <sz val="8"/>
      <color indexed="10"/>
      <name val="Arial Narrow"/>
      <family val="2"/>
    </font>
    <font>
      <b/>
      <sz val="8"/>
      <color indexed="12"/>
      <name val="Arial Narrow"/>
      <family val="2"/>
    </font>
    <font>
      <sz val="8"/>
      <color indexed="8"/>
      <name val="Arial Narrow"/>
      <family val="2"/>
    </font>
    <font>
      <u val="single"/>
      <sz val="12"/>
      <name val="Arial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color indexed="10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b/>
      <sz val="12"/>
      <color indexed="10"/>
      <name val="Arial CE"/>
      <family val="0"/>
    </font>
    <font>
      <strike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0"/>
    </font>
    <font>
      <i/>
      <sz val="10"/>
      <color indexed="10"/>
      <name val="Arial CE"/>
      <family val="0"/>
    </font>
    <font>
      <sz val="9"/>
      <color indexed="10"/>
      <name val="Arial CE"/>
      <family val="2"/>
    </font>
    <font>
      <vertAlign val="superscript"/>
      <sz val="9"/>
      <name val="Arial CE"/>
      <family val="0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b/>
      <u val="single"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3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1" fillId="0" borderId="5" xfId="27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5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4" fontId="15" fillId="2" borderId="5" xfId="0" applyNumberFormat="1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4" fontId="19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5" borderId="2" xfId="23" applyFont="1" applyFill="1" applyBorder="1" applyAlignment="1">
      <alignment horizontal="center" vertical="center"/>
      <protection/>
    </xf>
    <xf numFmtId="0" fontId="7" fillId="5" borderId="2" xfId="23" applyFont="1" applyFill="1" applyBorder="1" applyAlignment="1">
      <alignment horizontal="center" vertical="center" wrapText="1"/>
      <protection/>
    </xf>
    <xf numFmtId="0" fontId="7" fillId="5" borderId="2" xfId="23" applyFont="1" applyFill="1" applyBorder="1">
      <alignment/>
      <protection/>
    </xf>
    <xf numFmtId="0" fontId="7" fillId="6" borderId="0" xfId="23" applyFont="1" applyFill="1" applyBorder="1" applyAlignment="1">
      <alignment horizontal="left" vertical="center"/>
      <protection/>
    </xf>
    <xf numFmtId="0" fontId="7" fillId="6" borderId="0" xfId="23" applyFont="1" applyFill="1" applyBorder="1" applyAlignment="1">
      <alignment horizontal="center" vertical="center"/>
      <protection/>
    </xf>
    <xf numFmtId="0" fontId="7" fillId="6" borderId="0" xfId="23" applyFont="1" applyFill="1" applyBorder="1" applyAlignment="1">
      <alignment horizontal="center" vertical="center" wrapText="1"/>
      <protection/>
    </xf>
    <xf numFmtId="0" fontId="7" fillId="6" borderId="0" xfId="23" applyFont="1" applyFill="1" applyBorder="1">
      <alignment/>
      <protection/>
    </xf>
    <xf numFmtId="0" fontId="5" fillId="0" borderId="7" xfId="23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left" vertical="center"/>
      <protection/>
    </xf>
    <xf numFmtId="3" fontId="5" fillId="0" borderId="7" xfId="23" applyNumberFormat="1" applyFont="1" applyFill="1" applyBorder="1" applyAlignment="1">
      <alignment horizontal="right" vertical="center"/>
      <protection/>
    </xf>
    <xf numFmtId="4" fontId="5" fillId="0" borderId="7" xfId="23" applyNumberFormat="1" applyFont="1" applyFill="1" applyBorder="1" applyAlignment="1">
      <alignment horizontal="right" vertical="center"/>
      <protection/>
    </xf>
    <xf numFmtId="0" fontId="5" fillId="0" borderId="7" xfId="23" applyFont="1" applyFill="1" applyBorder="1" applyAlignment="1">
      <alignment horizontal="left" vertical="center" wrapText="1"/>
      <protection/>
    </xf>
    <xf numFmtId="0" fontId="5" fillId="0" borderId="0" xfId="23" applyFill="1" applyBorder="1">
      <alignment/>
      <protection/>
    </xf>
    <xf numFmtId="0" fontId="5" fillId="0" borderId="0" xfId="23" applyFill="1">
      <alignment/>
      <protection/>
    </xf>
    <xf numFmtId="0" fontId="5" fillId="0" borderId="7" xfId="23" applyFont="1" applyFill="1" applyBorder="1" applyAlignment="1">
      <alignment horizontal="center" vertical="center"/>
      <protection/>
    </xf>
    <xf numFmtId="3" fontId="5" fillId="0" borderId="7" xfId="23" applyNumberFormat="1" applyFont="1" applyFill="1" applyBorder="1" applyAlignment="1">
      <alignment horizontal="right" vertical="center" wrapText="1"/>
      <protection/>
    </xf>
    <xf numFmtId="4" fontId="5" fillId="0" borderId="7" xfId="23" applyNumberFormat="1" applyFont="1" applyFill="1" applyBorder="1" applyAlignment="1">
      <alignment horizontal="right" vertical="center" wrapText="1"/>
      <protection/>
    </xf>
    <xf numFmtId="0" fontId="5" fillId="0" borderId="0" xfId="23">
      <alignment/>
      <protection/>
    </xf>
    <xf numFmtId="1" fontId="5" fillId="0" borderId="7" xfId="24" applyNumberFormat="1" applyFont="1" applyFill="1" applyBorder="1" applyAlignment="1">
      <alignment horizontal="center" vertical="center"/>
      <protection/>
    </xf>
    <xf numFmtId="0" fontId="5" fillId="0" borderId="8" xfId="24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left" vertical="center" wrapText="1"/>
      <protection/>
    </xf>
    <xf numFmtId="0" fontId="5" fillId="0" borderId="9" xfId="23" applyFont="1" applyFill="1" applyBorder="1" applyAlignment="1">
      <alignment horizontal="center" vertical="center"/>
      <protection/>
    </xf>
    <xf numFmtId="0" fontId="21" fillId="0" borderId="7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5" fillId="0" borderId="10" xfId="23" applyFill="1" applyBorder="1">
      <alignment/>
      <protection/>
    </xf>
    <xf numFmtId="0" fontId="5" fillId="0" borderId="7" xfId="23" applyFill="1" applyBorder="1">
      <alignment/>
      <protection/>
    </xf>
    <xf numFmtId="0" fontId="5" fillId="0" borderId="11" xfId="23" applyFont="1" applyFill="1" applyBorder="1" applyAlignment="1">
      <alignment horizontal="center" vertical="center"/>
      <protection/>
    </xf>
    <xf numFmtId="3" fontId="5" fillId="0" borderId="8" xfId="23" applyNumberFormat="1" applyFont="1" applyFill="1" applyBorder="1" applyAlignment="1">
      <alignment horizontal="right" vertical="center"/>
      <protection/>
    </xf>
    <xf numFmtId="4" fontId="5" fillId="0" borderId="8" xfId="23" applyNumberFormat="1" applyFont="1" applyFill="1" applyBorder="1" applyAlignment="1">
      <alignment horizontal="right" vertical="center"/>
      <protection/>
    </xf>
    <xf numFmtId="0" fontId="5" fillId="0" borderId="12" xfId="23" applyFill="1" applyBorder="1">
      <alignment/>
      <protection/>
    </xf>
    <xf numFmtId="0" fontId="5" fillId="0" borderId="8" xfId="23" applyFill="1" applyBorder="1">
      <alignment/>
      <protection/>
    </xf>
    <xf numFmtId="0" fontId="5" fillId="0" borderId="11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left" vertical="center" wrapText="1"/>
      <protection/>
    </xf>
    <xf numFmtId="3" fontId="5" fillId="0" borderId="8" xfId="23" applyNumberFormat="1" applyFont="1" applyFill="1" applyBorder="1" applyAlignment="1">
      <alignment horizontal="right" vertical="center" wrapText="1"/>
      <protection/>
    </xf>
    <xf numFmtId="4" fontId="5" fillId="0" borderId="8" xfId="23" applyNumberFormat="1" applyFont="1" applyFill="1" applyBorder="1" applyAlignment="1">
      <alignment horizontal="right" vertical="center" wrapText="1"/>
      <protection/>
    </xf>
    <xf numFmtId="0" fontId="5" fillId="0" borderId="8" xfId="24" applyFont="1" applyFill="1" applyBorder="1" applyAlignment="1">
      <alignment horizontal="left" vertical="center"/>
      <protection/>
    </xf>
    <xf numFmtId="0" fontId="5" fillId="0" borderId="8" xfId="23" applyFont="1" applyFill="1" applyBorder="1" applyAlignment="1">
      <alignment horizontal="left" vertical="center"/>
      <protection/>
    </xf>
    <xf numFmtId="0" fontId="5" fillId="0" borderId="13" xfId="23" applyFont="1" applyFill="1" applyBorder="1" applyAlignment="1">
      <alignment horizontal="center" vertical="center"/>
      <protection/>
    </xf>
    <xf numFmtId="0" fontId="5" fillId="0" borderId="14" xfId="23" applyFill="1" applyBorder="1">
      <alignment/>
      <protection/>
    </xf>
    <xf numFmtId="0" fontId="5" fillId="0" borderId="7" xfId="23" applyBorder="1">
      <alignment/>
      <protection/>
    </xf>
    <xf numFmtId="0" fontId="5" fillId="0" borderId="0" xfId="23" applyBorder="1">
      <alignment/>
      <protection/>
    </xf>
    <xf numFmtId="1" fontId="5" fillId="0" borderId="7" xfId="23" applyNumberFormat="1" applyFont="1" applyFill="1" applyBorder="1" applyAlignment="1">
      <alignment horizontal="center" vertical="center"/>
      <protection/>
    </xf>
    <xf numFmtId="3" fontId="5" fillId="0" borderId="7" xfId="23" applyNumberFormat="1" applyFont="1" applyFill="1" applyBorder="1" applyAlignment="1">
      <alignment horizontal="right" vertical="center"/>
      <protection/>
    </xf>
    <xf numFmtId="4" fontId="5" fillId="0" borderId="7" xfId="24" applyNumberFormat="1" applyFont="1" applyFill="1" applyBorder="1" applyAlignment="1">
      <alignment horizontal="right" vertical="center"/>
      <protection/>
    </xf>
    <xf numFmtId="4" fontId="5" fillId="0" borderId="7" xfId="23" applyNumberFormat="1" applyFont="1" applyFill="1" applyBorder="1" applyAlignment="1">
      <alignment horizontal="right" vertical="center"/>
      <protection/>
    </xf>
    <xf numFmtId="0" fontId="5" fillId="0" borderId="7" xfId="24" applyFont="1" applyFill="1" applyBorder="1" applyAlignment="1">
      <alignment horizontal="left" vertical="center" wrapText="1"/>
      <protection/>
    </xf>
    <xf numFmtId="0" fontId="8" fillId="0" borderId="0" xfId="23" applyFont="1" applyFill="1" applyBorder="1">
      <alignment/>
      <protection/>
    </xf>
    <xf numFmtId="1" fontId="8" fillId="0" borderId="0" xfId="23" applyNumberFormat="1" applyFont="1" applyFill="1" applyBorder="1">
      <alignment/>
      <protection/>
    </xf>
    <xf numFmtId="1" fontId="8" fillId="0" borderId="0" xfId="23" applyNumberFormat="1" applyFont="1">
      <alignment/>
      <protection/>
    </xf>
    <xf numFmtId="4" fontId="5" fillId="0" borderId="13" xfId="23" applyNumberFormat="1" applyFont="1" applyFill="1" applyBorder="1" applyAlignment="1">
      <alignment horizontal="right" vertical="center"/>
      <protection/>
    </xf>
    <xf numFmtId="0" fontId="5" fillId="0" borderId="13" xfId="23" applyFont="1" applyFill="1" applyBorder="1" applyAlignment="1">
      <alignment horizontal="left" vertical="center"/>
      <protection/>
    </xf>
    <xf numFmtId="3" fontId="5" fillId="0" borderId="13" xfId="23" applyNumberFormat="1" applyFont="1" applyFill="1" applyBorder="1" applyAlignment="1">
      <alignment horizontal="right" vertical="center"/>
      <protection/>
    </xf>
    <xf numFmtId="0" fontId="5" fillId="0" borderId="13" xfId="23" applyFont="1" applyFill="1" applyBorder="1" applyAlignment="1">
      <alignment horizontal="left" vertical="center" wrapText="1"/>
      <protection/>
    </xf>
    <xf numFmtId="0" fontId="21" fillId="0" borderId="7" xfId="23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5" fillId="6" borderId="0" xfId="23" applyFill="1" applyBorder="1">
      <alignment/>
      <protection/>
    </xf>
    <xf numFmtId="0" fontId="21" fillId="6" borderId="0" xfId="23" applyFont="1" applyFill="1" applyBorder="1">
      <alignment/>
      <protection/>
    </xf>
    <xf numFmtId="0" fontId="5" fillId="6" borderId="0" xfId="23" applyFill="1">
      <alignment/>
      <protection/>
    </xf>
    <xf numFmtId="0" fontId="22" fillId="0" borderId="0" xfId="23" applyFont="1" applyFill="1" applyBorder="1">
      <alignment/>
      <protection/>
    </xf>
    <xf numFmtId="1" fontId="5" fillId="0" borderId="0" xfId="23" applyNumberFormat="1" applyFill="1" applyBorder="1">
      <alignment/>
      <protection/>
    </xf>
    <xf numFmtId="1" fontId="5" fillId="0" borderId="0" xfId="23" applyNumberFormat="1">
      <alignment/>
      <protection/>
    </xf>
    <xf numFmtId="0" fontId="5" fillId="6" borderId="7" xfId="23" applyFont="1" applyFill="1" applyBorder="1" applyAlignment="1">
      <alignment horizontal="center" vertical="center"/>
      <protection/>
    </xf>
    <xf numFmtId="0" fontId="5" fillId="6" borderId="7" xfId="23" applyFont="1" applyFill="1" applyBorder="1" applyAlignment="1">
      <alignment horizontal="center" vertical="center" wrapText="1"/>
      <protection/>
    </xf>
    <xf numFmtId="1" fontId="5" fillId="6" borderId="7" xfId="23" applyNumberFormat="1" applyFont="1" applyFill="1" applyBorder="1" applyAlignment="1">
      <alignment horizontal="left" vertical="center"/>
      <protection/>
    </xf>
    <xf numFmtId="3" fontId="5" fillId="6" borderId="7" xfId="23" applyNumberFormat="1" applyFont="1" applyFill="1" applyBorder="1" applyAlignment="1">
      <alignment wrapText="1"/>
      <protection/>
    </xf>
    <xf numFmtId="4" fontId="5" fillId="6" borderId="7" xfId="23" applyNumberFormat="1" applyFont="1" applyFill="1" applyBorder="1" applyAlignment="1">
      <alignment wrapText="1"/>
      <protection/>
    </xf>
    <xf numFmtId="0" fontId="5" fillId="6" borderId="7" xfId="23" applyFont="1" applyFill="1" applyBorder="1" applyAlignment="1">
      <alignment horizontal="justify" wrapText="1"/>
      <protection/>
    </xf>
    <xf numFmtId="0" fontId="5" fillId="6" borderId="8" xfId="23" applyFont="1" applyFill="1" applyBorder="1" applyAlignment="1">
      <alignment horizontal="center" vertical="center"/>
      <protection/>
    </xf>
    <xf numFmtId="0" fontId="5" fillId="6" borderId="8" xfId="23" applyFont="1" applyFill="1" applyBorder="1" applyAlignment="1">
      <alignment horizontal="center" vertical="center" wrapText="1"/>
      <protection/>
    </xf>
    <xf numFmtId="1" fontId="5" fillId="6" borderId="8" xfId="23" applyNumberFormat="1" applyFont="1" applyFill="1" applyBorder="1" applyAlignment="1">
      <alignment horizontal="left" vertical="center"/>
      <protection/>
    </xf>
    <xf numFmtId="3" fontId="5" fillId="6" borderId="8" xfId="23" applyNumberFormat="1" applyFont="1" applyFill="1" applyBorder="1" applyAlignment="1">
      <alignment wrapText="1"/>
      <protection/>
    </xf>
    <xf numFmtId="4" fontId="5" fillId="6" borderId="8" xfId="23" applyNumberFormat="1" applyFont="1" applyFill="1" applyBorder="1" applyAlignment="1">
      <alignment wrapText="1"/>
      <protection/>
    </xf>
    <xf numFmtId="0" fontId="5" fillId="0" borderId="8" xfId="23" applyBorder="1">
      <alignment/>
      <protection/>
    </xf>
    <xf numFmtId="0" fontId="5" fillId="0" borderId="7" xfId="24" applyFont="1" applyFill="1" applyBorder="1" applyAlignment="1">
      <alignment horizontal="center" vertical="center"/>
      <protection/>
    </xf>
    <xf numFmtId="0" fontId="0" fillId="0" borderId="7" xfId="23" applyFont="1" applyFill="1" applyBorder="1" applyAlignment="1">
      <alignment horizontal="center" vertical="center"/>
      <protection/>
    </xf>
    <xf numFmtId="0" fontId="0" fillId="0" borderId="8" xfId="23" applyFont="1" applyFill="1" applyBorder="1" applyAlignment="1">
      <alignment horizontal="center" vertical="center"/>
      <protection/>
    </xf>
    <xf numFmtId="3" fontId="5" fillId="0" borderId="9" xfId="23" applyNumberFormat="1" applyFont="1" applyFill="1" applyBorder="1" applyAlignment="1">
      <alignment horizontal="right" vertical="center"/>
      <protection/>
    </xf>
    <xf numFmtId="4" fontId="5" fillId="0" borderId="9" xfId="23" applyNumberFormat="1" applyFont="1" applyFill="1" applyBorder="1" applyAlignment="1">
      <alignment horizontal="right" vertical="center"/>
      <protection/>
    </xf>
    <xf numFmtId="4" fontId="5" fillId="0" borderId="15" xfId="23" applyNumberFormat="1" applyFont="1" applyFill="1" applyBorder="1" applyAlignment="1">
      <alignment horizontal="right" vertical="center" wrapText="1"/>
      <protection/>
    </xf>
    <xf numFmtId="4" fontId="5" fillId="0" borderId="11" xfId="23" applyNumberFormat="1" applyFont="1" applyFill="1" applyBorder="1" applyAlignment="1">
      <alignment horizontal="right" vertical="center" wrapText="1"/>
      <protection/>
    </xf>
    <xf numFmtId="4" fontId="5" fillId="0" borderId="11" xfId="23" applyNumberFormat="1" applyFont="1" applyFill="1" applyBorder="1" applyAlignment="1">
      <alignment horizontal="right" vertical="center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5" fillId="0" borderId="11" xfId="23" applyNumberFormat="1" applyFont="1" applyFill="1" applyBorder="1" applyAlignment="1">
      <alignment horizontal="right" vertical="center" wrapText="1"/>
      <protection/>
    </xf>
    <xf numFmtId="0" fontId="5" fillId="0" borderId="16" xfId="23" applyFont="1" applyFill="1" applyBorder="1" applyAlignment="1">
      <alignment horizontal="center" vertical="center"/>
      <protection/>
    </xf>
    <xf numFmtId="0" fontId="5" fillId="0" borderId="16" xfId="23" applyFont="1" applyFill="1" applyBorder="1" applyAlignment="1">
      <alignment horizontal="left" vertical="center"/>
      <protection/>
    </xf>
    <xf numFmtId="3" fontId="5" fillId="0" borderId="16" xfId="23" applyNumberFormat="1" applyFont="1" applyFill="1" applyBorder="1" applyAlignment="1">
      <alignment horizontal="right" vertical="center" wrapText="1"/>
      <protection/>
    </xf>
    <xf numFmtId="4" fontId="5" fillId="0" borderId="16" xfId="23" applyNumberFormat="1" applyFont="1" applyFill="1" applyBorder="1" applyAlignment="1">
      <alignment horizontal="right" vertical="center" wrapText="1"/>
      <protection/>
    </xf>
    <xf numFmtId="4" fontId="5" fillId="0" borderId="16" xfId="23" applyNumberFormat="1" applyFont="1" applyFill="1" applyBorder="1" applyAlignment="1">
      <alignment horizontal="right" vertical="center"/>
      <protection/>
    </xf>
    <xf numFmtId="0" fontId="5" fillId="0" borderId="16" xfId="23" applyFont="1" applyFill="1" applyBorder="1" applyAlignment="1">
      <alignment horizontal="left" vertical="center" wrapText="1"/>
      <protection/>
    </xf>
    <xf numFmtId="3" fontId="5" fillId="0" borderId="16" xfId="23" applyNumberFormat="1" applyFont="1" applyFill="1" applyBorder="1" applyAlignment="1">
      <alignment horizontal="right"/>
      <protection/>
    </xf>
    <xf numFmtId="0" fontId="5" fillId="0" borderId="16" xfId="23" applyFill="1" applyBorder="1">
      <alignment/>
      <protection/>
    </xf>
    <xf numFmtId="0" fontId="5" fillId="0" borderId="16" xfId="23" applyBorder="1">
      <alignment/>
      <protection/>
    </xf>
    <xf numFmtId="0" fontId="5" fillId="0" borderId="2" xfId="23" applyFont="1" applyFill="1" applyBorder="1" applyAlignment="1">
      <alignment horizontal="center"/>
      <protection/>
    </xf>
    <xf numFmtId="0" fontId="5" fillId="0" borderId="2" xfId="23" applyFont="1" applyFill="1" applyBorder="1" applyAlignment="1">
      <alignment horizontal="center" wrapText="1"/>
      <protection/>
    </xf>
    <xf numFmtId="0" fontId="23" fillId="0" borderId="2" xfId="23" applyFont="1" applyFill="1" applyBorder="1" applyAlignment="1">
      <alignment horizontal="left" vertical="center" wrapText="1"/>
      <protection/>
    </xf>
    <xf numFmtId="3" fontId="7" fillId="0" borderId="2" xfId="23" applyNumberFormat="1" applyFont="1" applyFill="1" applyBorder="1" applyAlignment="1">
      <alignment wrapText="1"/>
      <protection/>
    </xf>
    <xf numFmtId="4" fontId="7" fillId="0" borderId="2" xfId="23" applyNumberFormat="1" applyFont="1" applyFill="1" applyBorder="1" applyAlignment="1">
      <alignment wrapText="1"/>
      <protection/>
    </xf>
    <xf numFmtId="4" fontId="7" fillId="0" borderId="2" xfId="23" applyNumberFormat="1" applyFont="1" applyFill="1" applyBorder="1" applyAlignment="1">
      <alignment horizontal="right" vertical="center"/>
      <protection/>
    </xf>
    <xf numFmtId="0" fontId="5" fillId="0" borderId="2" xfId="23" applyFont="1" applyFill="1" applyBorder="1" applyAlignment="1">
      <alignment horizontal="justify" wrapText="1"/>
      <protection/>
    </xf>
    <xf numFmtId="0" fontId="5" fillId="0" borderId="2" xfId="23" applyFill="1" applyBorder="1">
      <alignment/>
      <protection/>
    </xf>
    <xf numFmtId="0" fontId="5" fillId="0" borderId="2" xfId="23" applyBorder="1">
      <alignment/>
      <protection/>
    </xf>
    <xf numFmtId="0" fontId="5" fillId="0" borderId="0" xfId="23" applyFont="1" applyFill="1" applyAlignment="1">
      <alignment horizontal="center"/>
      <protection/>
    </xf>
    <xf numFmtId="0" fontId="21" fillId="0" borderId="0" xfId="23" applyFont="1" applyFill="1" applyAlignment="1">
      <alignment horizontal="left" wrapText="1"/>
      <protection/>
    </xf>
    <xf numFmtId="1" fontId="21" fillId="0" borderId="0" xfId="23" applyNumberFormat="1" applyFont="1" applyFill="1" applyBorder="1" applyAlignment="1">
      <alignment/>
      <protection/>
    </xf>
    <xf numFmtId="0" fontId="5" fillId="0" borderId="0" xfId="23" applyFont="1" applyFill="1" applyAlignment="1">
      <alignment wrapText="1"/>
      <protection/>
    </xf>
    <xf numFmtId="0" fontId="24" fillId="0" borderId="0" xfId="23" applyFont="1" applyFill="1" applyBorder="1" applyAlignment="1">
      <alignment horizontal="center" vertical="center" wrapText="1"/>
      <protection/>
    </xf>
    <xf numFmtId="0" fontId="5" fillId="0" borderId="0" xfId="23" applyFont="1" applyFill="1" applyBorder="1" applyAlignment="1">
      <alignment horizontal="left" wrapText="1"/>
      <protection/>
    </xf>
    <xf numFmtId="3" fontId="25" fillId="0" borderId="0" xfId="23" applyNumberFormat="1" applyFont="1" applyFill="1" applyBorder="1" applyAlignment="1">
      <alignment horizontal="right" wrapText="1"/>
      <protection/>
    </xf>
    <xf numFmtId="0" fontId="4" fillId="0" borderId="0" xfId="23" applyFont="1" applyFill="1" applyBorder="1" applyAlignment="1">
      <alignment horizontal="justify" vertical="top" wrapText="1"/>
      <protection/>
    </xf>
    <xf numFmtId="0" fontId="5" fillId="0" borderId="0" xfId="23" applyFill="1" applyBorder="1" applyAlignment="1">
      <alignment vertical="center"/>
      <protection/>
    </xf>
    <xf numFmtId="3" fontId="5" fillId="0" borderId="0" xfId="23" applyNumberFormat="1" applyFont="1" applyFill="1" applyBorder="1" applyAlignment="1">
      <alignment horizontal="right" wrapText="1"/>
      <protection/>
    </xf>
    <xf numFmtId="0" fontId="21" fillId="0" borderId="0" xfId="23" applyFont="1" applyFill="1" applyBorder="1" applyAlignment="1">
      <alignment horizontal="left" wrapText="1"/>
      <protection/>
    </xf>
    <xf numFmtId="0" fontId="7" fillId="0" borderId="0" xfId="23" applyFont="1" applyFill="1" applyBorder="1" applyAlignment="1">
      <alignment horizontal="center"/>
      <protection/>
    </xf>
    <xf numFmtId="0" fontId="21" fillId="0" borderId="0" xfId="23" applyFont="1" applyFill="1" applyBorder="1" applyAlignment="1">
      <alignment horizontal="left"/>
      <protection/>
    </xf>
    <xf numFmtId="1" fontId="23" fillId="0" borderId="0" xfId="23" applyNumberFormat="1" applyFont="1" applyFill="1" applyBorder="1" applyAlignment="1">
      <alignment/>
      <protection/>
    </xf>
    <xf numFmtId="0" fontId="5" fillId="0" borderId="0" xfId="23" applyFont="1" applyFill="1" applyBorder="1" applyAlignment="1">
      <alignment wrapText="1"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Fill="1" applyBorder="1">
      <alignment/>
      <protection/>
    </xf>
    <xf numFmtId="1" fontId="5" fillId="0" borderId="0" xfId="24" applyNumberFormat="1" applyFont="1" applyFill="1" applyBorder="1" applyAlignment="1">
      <alignment horizontal="right" wrapText="1"/>
      <protection/>
    </xf>
    <xf numFmtId="0" fontId="5" fillId="0" borderId="0" xfId="23" applyNumberFormat="1" applyFont="1" applyFill="1" applyBorder="1" applyAlignment="1">
      <alignment horizontal="left" wrapText="1"/>
      <protection/>
    </xf>
    <xf numFmtId="3" fontId="5" fillId="0" borderId="0" xfId="23" applyNumberFormat="1" applyFont="1" applyFill="1" applyBorder="1" applyAlignment="1">
      <alignment wrapText="1"/>
      <protection/>
    </xf>
    <xf numFmtId="1" fontId="5" fillId="0" borderId="0" xfId="23" applyNumberFormat="1" applyFont="1" applyFill="1" applyBorder="1" applyAlignment="1">
      <alignment wrapText="1"/>
      <protection/>
    </xf>
    <xf numFmtId="0" fontId="5" fillId="0" borderId="0" xfId="23" applyFill="1" applyBorder="1" applyAlignment="1">
      <alignment wrapText="1"/>
      <protection/>
    </xf>
    <xf numFmtId="1" fontId="21" fillId="0" borderId="0" xfId="23" applyNumberFormat="1" applyFont="1" applyFill="1" applyAlignment="1">
      <alignment/>
      <protection/>
    </xf>
    <xf numFmtId="3" fontId="5" fillId="0" borderId="7" xfId="24" applyNumberFormat="1" applyFont="1" applyFill="1" applyBorder="1" applyAlignment="1">
      <alignment horizontal="right" vertical="center"/>
      <protection/>
    </xf>
    <xf numFmtId="0" fontId="5" fillId="0" borderId="7" xfId="24" applyFont="1" applyFill="1" applyBorder="1" applyAlignment="1">
      <alignment horizontal="center" vertical="center"/>
      <protection/>
    </xf>
    <xf numFmtId="3" fontId="5" fillId="0" borderId="7" xfId="24" applyNumberFormat="1" applyFont="1" applyFill="1" applyBorder="1" applyAlignment="1">
      <alignment horizontal="right" vertical="center" wrapText="1"/>
      <protection/>
    </xf>
    <xf numFmtId="4" fontId="5" fillId="0" borderId="7" xfId="24" applyNumberFormat="1" applyFont="1" applyFill="1" applyBorder="1" applyAlignment="1">
      <alignment horizontal="right" vertical="center" wrapText="1"/>
      <protection/>
    </xf>
    <xf numFmtId="3" fontId="5" fillId="0" borderId="7" xfId="24" applyNumberFormat="1" applyFont="1" applyFill="1" applyBorder="1" applyAlignment="1">
      <alignment horizontal="right" vertical="center"/>
      <protection/>
    </xf>
    <xf numFmtId="4" fontId="5" fillId="0" borderId="7" xfId="24" applyNumberFormat="1" applyFont="1" applyFill="1" applyBorder="1" applyAlignment="1">
      <alignment horizontal="right" vertical="center"/>
      <protection/>
    </xf>
    <xf numFmtId="3" fontId="0" fillId="0" borderId="7" xfId="23" applyNumberFormat="1" applyFont="1" applyFill="1" applyBorder="1" applyAlignment="1">
      <alignment horizontal="right" vertical="center"/>
      <protection/>
    </xf>
    <xf numFmtId="4" fontId="0" fillId="0" borderId="7" xfId="23" applyNumberFormat="1" applyFont="1" applyFill="1" applyBorder="1" applyAlignment="1">
      <alignment horizontal="right" vertical="center"/>
      <protection/>
    </xf>
    <xf numFmtId="0" fontId="5" fillId="6" borderId="7" xfId="23" applyFont="1" applyFill="1" applyBorder="1" applyAlignment="1">
      <alignment horizontal="left" vertical="center" wrapText="1"/>
      <protection/>
    </xf>
    <xf numFmtId="49" fontId="5" fillId="0" borderId="7" xfId="23" applyNumberFormat="1" applyFont="1" applyFill="1" applyBorder="1" applyAlignment="1">
      <alignment horizontal="center" vertical="center"/>
      <protection/>
    </xf>
    <xf numFmtId="0" fontId="25" fillId="0" borderId="7" xfId="23" applyFont="1" applyBorder="1" applyAlignment="1">
      <alignment horizontal="center" vertical="center"/>
      <protection/>
    </xf>
    <xf numFmtId="0" fontId="25" fillId="0" borderId="7" xfId="23" applyFont="1" applyFill="1" applyBorder="1" applyAlignment="1">
      <alignment horizontal="center" vertical="center"/>
      <protection/>
    </xf>
    <xf numFmtId="49" fontId="5" fillId="0" borderId="7" xfId="24" applyNumberFormat="1" applyFont="1" applyFill="1" applyBorder="1" applyAlignment="1">
      <alignment horizontal="center" vertical="center"/>
      <protection/>
    </xf>
    <xf numFmtId="1" fontId="5" fillId="0" borderId="7" xfId="24" applyNumberFormat="1" applyFont="1" applyFill="1" applyBorder="1" applyAlignment="1">
      <alignment horizontal="left" vertical="center" wrapText="1"/>
      <protection/>
    </xf>
    <xf numFmtId="0" fontId="26" fillId="0" borderId="0" xfId="23" applyFont="1" applyFill="1" applyBorder="1" applyAlignment="1">
      <alignment wrapText="1"/>
      <protection/>
    </xf>
    <xf numFmtId="3" fontId="26" fillId="0" borderId="0" xfId="23" applyNumberFormat="1" applyFont="1" applyFill="1" applyBorder="1" applyAlignment="1">
      <alignment horizontal="center"/>
      <protection/>
    </xf>
    <xf numFmtId="49" fontId="5" fillId="0" borderId="7" xfId="23" applyNumberFormat="1" applyFont="1" applyFill="1" applyBorder="1" applyAlignment="1">
      <alignment horizontal="center" vertical="center"/>
      <protection/>
    </xf>
    <xf numFmtId="1" fontId="27" fillId="0" borderId="0" xfId="23" applyNumberFormat="1" applyFont="1" applyFill="1" applyBorder="1">
      <alignment/>
      <protection/>
    </xf>
    <xf numFmtId="1" fontId="27" fillId="0" borderId="0" xfId="23" applyNumberFormat="1" applyFont="1">
      <alignment/>
      <protection/>
    </xf>
    <xf numFmtId="0" fontId="5" fillId="0" borderId="7" xfId="24" applyFont="1" applyFill="1" applyBorder="1" applyAlignment="1">
      <alignment horizontal="left" vertical="center"/>
      <protection/>
    </xf>
    <xf numFmtId="1" fontId="21" fillId="0" borderId="0" xfId="23" applyNumberFormat="1" applyFont="1" applyFill="1" applyBorder="1">
      <alignment/>
      <protection/>
    </xf>
    <xf numFmtId="1" fontId="21" fillId="0" borderId="0" xfId="23" applyNumberFormat="1" applyFont="1">
      <alignment/>
      <protection/>
    </xf>
    <xf numFmtId="0" fontId="5" fillId="6" borderId="7" xfId="24" applyFont="1" applyFill="1" applyBorder="1" applyAlignment="1">
      <alignment horizontal="left" vertical="center" wrapText="1"/>
      <protection/>
    </xf>
    <xf numFmtId="1" fontId="5" fillId="0" borderId="7" xfId="23" applyNumberFormat="1" applyFont="1" applyFill="1" applyBorder="1" applyAlignment="1">
      <alignment horizontal="center" vertical="center"/>
      <protection/>
    </xf>
    <xf numFmtId="0" fontId="5" fillId="6" borderId="7" xfId="24" applyFont="1" applyFill="1" applyBorder="1" applyAlignment="1">
      <alignment horizontal="center" vertical="center"/>
      <protection/>
    </xf>
    <xf numFmtId="3" fontId="5" fillId="6" borderId="7" xfId="23" applyNumberFormat="1" applyFont="1" applyFill="1" applyBorder="1" applyAlignment="1">
      <alignment horizontal="right" vertical="center"/>
      <protection/>
    </xf>
    <xf numFmtId="4" fontId="5" fillId="6" borderId="7" xfId="23" applyNumberFormat="1" applyFont="1" applyFill="1" applyBorder="1" applyAlignment="1">
      <alignment horizontal="right" vertical="center"/>
      <protection/>
    </xf>
    <xf numFmtId="0" fontId="5" fillId="0" borderId="8" xfId="24" applyFont="1" applyFill="1" applyBorder="1" applyAlignment="1">
      <alignment horizontal="left" vertical="center" wrapText="1"/>
      <protection/>
    </xf>
    <xf numFmtId="0" fontId="0" fillId="0" borderId="11" xfId="23" applyFont="1" applyFill="1" applyBorder="1" applyAlignment="1">
      <alignment horizontal="center" vertical="center"/>
      <protection/>
    </xf>
    <xf numFmtId="0" fontId="5" fillId="0" borderId="12" xfId="24" applyFont="1" applyFill="1" applyBorder="1" applyAlignment="1">
      <alignment horizontal="left" vertical="center" wrapText="1"/>
      <protection/>
    </xf>
    <xf numFmtId="0" fontId="5" fillId="0" borderId="12" xfId="23" applyFont="1" applyFill="1" applyBorder="1" applyAlignment="1">
      <alignment horizontal="left" vertical="center" wrapText="1"/>
      <protection/>
    </xf>
    <xf numFmtId="0" fontId="5" fillId="0" borderId="16" xfId="23" applyFont="1" applyFill="1" applyBorder="1" applyAlignment="1">
      <alignment horizontal="center" vertical="center"/>
      <protection/>
    </xf>
    <xf numFmtId="0" fontId="5" fillId="0" borderId="17" xfId="23" applyFont="1" applyFill="1" applyBorder="1" applyAlignment="1">
      <alignment horizontal="center" vertical="center"/>
      <protection/>
    </xf>
    <xf numFmtId="4" fontId="5" fillId="0" borderId="8" xfId="24" applyNumberFormat="1" applyFont="1" applyFill="1" applyBorder="1" applyAlignment="1">
      <alignment horizontal="right" vertical="center"/>
      <protection/>
    </xf>
    <xf numFmtId="0" fontId="5" fillId="0" borderId="16" xfId="24" applyFont="1" applyFill="1" applyBorder="1" applyAlignment="1">
      <alignment horizontal="left" vertical="center" wrapText="1"/>
      <protection/>
    </xf>
    <xf numFmtId="0" fontId="7" fillId="0" borderId="2" xfId="23" applyFont="1" applyFill="1" applyBorder="1" applyAlignment="1">
      <alignment horizontal="center" vertical="top" wrapText="1"/>
      <protection/>
    </xf>
    <xf numFmtId="0" fontId="7" fillId="0" borderId="18" xfId="23" applyFont="1" applyFill="1" applyBorder="1" applyAlignment="1">
      <alignment horizontal="center" vertical="top" wrapText="1"/>
      <protection/>
    </xf>
    <xf numFmtId="0" fontId="5" fillId="0" borderId="2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left" vertical="center"/>
      <protection/>
    </xf>
    <xf numFmtId="3" fontId="7" fillId="0" borderId="2" xfId="23" applyNumberFormat="1" applyFont="1" applyFill="1" applyBorder="1" applyAlignment="1">
      <alignment horizontal="right" vertical="center"/>
      <protection/>
    </xf>
    <xf numFmtId="4" fontId="7" fillId="0" borderId="2" xfId="24" applyNumberFormat="1" applyFont="1" applyFill="1" applyBorder="1" applyAlignment="1">
      <alignment horizontal="right" vertical="center"/>
      <protection/>
    </xf>
    <xf numFmtId="0" fontId="5" fillId="0" borderId="2" xfId="23" applyFont="1" applyFill="1" applyBorder="1" applyAlignment="1">
      <alignment wrapText="1"/>
      <protection/>
    </xf>
    <xf numFmtId="0" fontId="7" fillId="0" borderId="0" xfId="23" applyFont="1" applyFill="1" applyBorder="1" applyAlignment="1">
      <alignment horizontal="center" vertical="top" wrapText="1"/>
      <protection/>
    </xf>
    <xf numFmtId="0" fontId="23" fillId="0" borderId="0" xfId="23" applyFont="1" applyFill="1" applyBorder="1" applyAlignment="1">
      <alignment horizontal="center" wrapText="1"/>
      <protection/>
    </xf>
    <xf numFmtId="0" fontId="7" fillId="0" borderId="0" xfId="23" applyFont="1" applyFill="1" applyBorder="1" applyAlignment="1">
      <alignment horizontal="center" vertical="center"/>
      <protection/>
    </xf>
    <xf numFmtId="1" fontId="5" fillId="0" borderId="0" xfId="23" applyNumberFormat="1" applyFont="1" applyFill="1" applyBorder="1" applyAlignment="1">
      <alignment wrapText="1"/>
      <protection/>
    </xf>
    <xf numFmtId="0" fontId="5" fillId="0" borderId="0" xfId="23" applyAlignment="1">
      <alignment vertical="center"/>
      <protection/>
    </xf>
    <xf numFmtId="1" fontId="5" fillId="0" borderId="0" xfId="23" applyNumberFormat="1" applyAlignment="1">
      <alignment vertical="center"/>
      <protection/>
    </xf>
    <xf numFmtId="0" fontId="27" fillId="0" borderId="0" xfId="23" applyFont="1" applyFill="1" applyBorder="1" applyAlignment="1">
      <alignment horizontal="left" wrapText="1"/>
      <protection/>
    </xf>
    <xf numFmtId="3" fontId="24" fillId="0" borderId="0" xfId="23" applyNumberFormat="1" applyFont="1" applyFill="1" applyBorder="1" applyAlignment="1">
      <alignment horizontal="left" wrapText="1"/>
      <protection/>
    </xf>
    <xf numFmtId="3" fontId="27" fillId="0" borderId="0" xfId="23" applyNumberFormat="1" applyFont="1" applyFill="1" applyBorder="1" applyAlignment="1">
      <alignment horizontal="left" wrapText="1"/>
      <protection/>
    </xf>
    <xf numFmtId="3" fontId="21" fillId="0" borderId="0" xfId="23" applyNumberFormat="1" applyFont="1" applyFill="1" applyBorder="1" applyAlignment="1">
      <alignment horizontal="left" wrapText="1"/>
      <protection/>
    </xf>
    <xf numFmtId="3" fontId="21" fillId="0" borderId="0" xfId="23" applyNumberFormat="1" applyFont="1" applyFill="1" applyBorder="1" applyAlignment="1">
      <alignment horizontal="right"/>
      <protection/>
    </xf>
    <xf numFmtId="1" fontId="27" fillId="0" borderId="0" xfId="23" applyNumberFormat="1" applyFont="1" applyFill="1" applyBorder="1" applyAlignment="1">
      <alignment horizontal="left" wrapText="1"/>
      <protection/>
    </xf>
    <xf numFmtId="0" fontId="7" fillId="0" borderId="19" xfId="23" applyFont="1" applyBorder="1" applyAlignment="1">
      <alignment horizontal="left" vertical="center"/>
      <protection/>
    </xf>
    <xf numFmtId="0" fontId="5" fillId="0" borderId="7" xfId="23" applyBorder="1" applyAlignment="1">
      <alignment horizontal="center" vertical="center"/>
      <protection/>
    </xf>
    <xf numFmtId="0" fontId="5" fillId="0" borderId="7" xfId="23" applyBorder="1" applyAlignment="1">
      <alignment vertical="center" wrapText="1"/>
      <protection/>
    </xf>
    <xf numFmtId="0" fontId="5" fillId="0" borderId="7" xfId="23" applyBorder="1" applyAlignment="1">
      <alignment vertical="center"/>
      <protection/>
    </xf>
    <xf numFmtId="4" fontId="5" fillId="0" borderId="7" xfId="23" applyNumberFormat="1" applyFill="1" applyBorder="1" applyAlignment="1">
      <alignment vertical="center"/>
      <protection/>
    </xf>
    <xf numFmtId="4" fontId="5" fillId="0" borderId="7" xfId="23" applyNumberFormat="1" applyBorder="1" applyAlignment="1">
      <alignment vertical="center"/>
      <protection/>
    </xf>
    <xf numFmtId="4" fontId="5" fillId="0" borderId="7" xfId="23" applyNumberFormat="1" applyFill="1" applyBorder="1">
      <alignment/>
      <protection/>
    </xf>
    <xf numFmtId="0" fontId="5" fillId="0" borderId="7" xfId="23" applyFont="1" applyBorder="1" applyAlignment="1">
      <alignment wrapText="1"/>
      <protection/>
    </xf>
    <xf numFmtId="0" fontId="5" fillId="0" borderId="8" xfId="23" applyBorder="1" applyAlignment="1">
      <alignment horizontal="center" vertical="center"/>
      <protection/>
    </xf>
    <xf numFmtId="0" fontId="5" fillId="0" borderId="8" xfId="23" applyBorder="1" applyAlignment="1">
      <alignment vertical="center" wrapText="1"/>
      <protection/>
    </xf>
    <xf numFmtId="0" fontId="5" fillId="0" borderId="8" xfId="23" applyBorder="1" applyAlignment="1">
      <alignment vertical="center"/>
      <protection/>
    </xf>
    <xf numFmtId="4" fontId="5" fillId="0" borderId="8" xfId="23" applyNumberFormat="1" applyBorder="1" applyAlignment="1">
      <alignment vertical="center"/>
      <protection/>
    </xf>
    <xf numFmtId="4" fontId="5" fillId="0" borderId="8" xfId="23" applyNumberFormat="1" applyFill="1" applyBorder="1">
      <alignment/>
      <protection/>
    </xf>
    <xf numFmtId="0" fontId="5" fillId="0" borderId="8" xfId="23" applyFont="1" applyBorder="1" applyAlignment="1">
      <alignment wrapText="1"/>
      <protection/>
    </xf>
    <xf numFmtId="0" fontId="5" fillId="0" borderId="7" xfId="23" applyFill="1" applyBorder="1" applyAlignment="1">
      <alignment vertical="center"/>
      <protection/>
    </xf>
    <xf numFmtId="0" fontId="5" fillId="0" borderId="7" xfId="23" applyBorder="1" applyAlignment="1">
      <alignment wrapText="1"/>
      <protection/>
    </xf>
    <xf numFmtId="3" fontId="5" fillId="0" borderId="7" xfId="23" applyNumberFormat="1" applyBorder="1" applyAlignment="1">
      <alignment vertical="center"/>
      <protection/>
    </xf>
    <xf numFmtId="0" fontId="5" fillId="0" borderId="8" xfId="23" applyNumberFormat="1" applyFont="1" applyBorder="1" applyAlignment="1">
      <alignment wrapText="1"/>
      <protection/>
    </xf>
    <xf numFmtId="0" fontId="5" fillId="0" borderId="2" xfId="23" applyBorder="1" applyAlignment="1">
      <alignment horizontal="center" vertical="center"/>
      <protection/>
    </xf>
    <xf numFmtId="0" fontId="7" fillId="0" borderId="2" xfId="23" applyFont="1" applyBorder="1" applyAlignment="1">
      <alignment wrapText="1"/>
      <protection/>
    </xf>
    <xf numFmtId="3" fontId="7" fillId="0" borderId="2" xfId="23" applyNumberFormat="1" applyFont="1" applyBorder="1">
      <alignment/>
      <protection/>
    </xf>
    <xf numFmtId="4" fontId="7" fillId="0" borderId="2" xfId="23" applyNumberFormat="1" applyFont="1" applyBorder="1">
      <alignment/>
      <protection/>
    </xf>
    <xf numFmtId="4" fontId="7" fillId="0" borderId="2" xfId="23" applyNumberFormat="1" applyFont="1" applyFill="1" applyBorder="1">
      <alignment/>
      <protection/>
    </xf>
    <xf numFmtId="0" fontId="5" fillId="0" borderId="2" xfId="23" applyFont="1" applyBorder="1" applyAlignment="1">
      <alignment wrapText="1"/>
      <protection/>
    </xf>
    <xf numFmtId="0" fontId="20" fillId="0" borderId="0" xfId="18" applyAlignment="1">
      <alignment/>
    </xf>
    <xf numFmtId="0" fontId="5" fillId="0" borderId="0" xfId="23" applyFont="1" applyAlignment="1">
      <alignment wrapText="1"/>
      <protection/>
    </xf>
    <xf numFmtId="0" fontId="5" fillId="0" borderId="0" xfId="23" applyAlignment="1">
      <alignment wrapText="1"/>
      <protection/>
    </xf>
    <xf numFmtId="0" fontId="7" fillId="0" borderId="0" xfId="23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vertical="center"/>
      <protection/>
    </xf>
    <xf numFmtId="3" fontId="5" fillId="0" borderId="7" xfId="21" applyNumberFormat="1" applyFont="1" applyBorder="1" applyAlignment="1">
      <alignment vertical="center"/>
      <protection/>
    </xf>
    <xf numFmtId="4" fontId="5" fillId="0" borderId="7" xfId="21" applyNumberFormat="1" applyFont="1" applyBorder="1" applyAlignment="1">
      <alignment vertical="center"/>
      <protection/>
    </xf>
    <xf numFmtId="0" fontId="28" fillId="0" borderId="7" xfId="21" applyNumberFormat="1" applyFont="1" applyFill="1" applyBorder="1" applyAlignment="1">
      <alignment horizontal="justify" vertical="justify" wrapText="1"/>
      <protection/>
    </xf>
    <xf numFmtId="0" fontId="0" fillId="0" borderId="0" xfId="21" applyAlignment="1">
      <alignment/>
      <protection/>
    </xf>
    <xf numFmtId="0" fontId="0" fillId="0" borderId="7" xfId="21" applyBorder="1" applyAlignment="1">
      <alignment horizontal="center" vertical="center"/>
      <protection/>
    </xf>
    <xf numFmtId="0" fontId="8" fillId="0" borderId="7" xfId="21" applyFont="1" applyBorder="1" applyAlignment="1">
      <alignment horizontal="justify" vertical="justify"/>
      <protection/>
    </xf>
    <xf numFmtId="3" fontId="28" fillId="0" borderId="7" xfId="21" applyNumberFormat="1" applyFont="1" applyBorder="1" applyAlignment="1">
      <alignment horizontal="justify" vertical="justify" wrapText="1"/>
      <protection/>
    </xf>
    <xf numFmtId="0" fontId="5" fillId="0" borderId="7" xfId="21" applyFont="1" applyBorder="1" applyAlignment="1">
      <alignment vertical="center"/>
      <protection/>
    </xf>
    <xf numFmtId="0" fontId="28" fillId="0" borderId="7" xfId="21" applyFont="1" applyBorder="1" applyAlignment="1">
      <alignment horizontal="justify" vertical="justify" wrapText="1"/>
      <protection/>
    </xf>
    <xf numFmtId="0" fontId="8" fillId="0" borderId="7" xfId="21" applyNumberFormat="1" applyFont="1" applyBorder="1" applyAlignment="1">
      <alignment horizontal="justify" vertical="justify" wrapText="1"/>
      <protection/>
    </xf>
    <xf numFmtId="0" fontId="8" fillId="0" borderId="7" xfId="21" applyFont="1" applyBorder="1" applyAlignment="1">
      <alignment horizontal="justify" vertical="justify" wrapText="1"/>
      <protection/>
    </xf>
    <xf numFmtId="0" fontId="8" fillId="0" borderId="7" xfId="21" applyFont="1" applyBorder="1" applyAlignment="1">
      <alignment horizontal="justify" wrapText="1"/>
      <protection/>
    </xf>
    <xf numFmtId="0" fontId="8" fillId="0" borderId="7" xfId="21" applyFont="1" applyBorder="1" applyAlignment="1">
      <alignment horizontal="justify" vertical="justify" wrapText="1"/>
      <protection/>
    </xf>
    <xf numFmtId="4" fontId="5" fillId="0" borderId="8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vertical="center"/>
      <protection/>
    </xf>
    <xf numFmtId="3" fontId="7" fillId="0" borderId="2" xfId="21" applyNumberFormat="1" applyFont="1" applyBorder="1" applyAlignment="1">
      <alignment vertical="center"/>
      <protection/>
    </xf>
    <xf numFmtId="4" fontId="7" fillId="0" borderId="2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0" xfId="21" applyBorder="1" applyAlignment="1">
      <alignment/>
      <protection/>
    </xf>
    <xf numFmtId="0" fontId="0" fillId="0" borderId="2" xfId="21" applyBorder="1" applyAlignment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/>
      <protection/>
    </xf>
    <xf numFmtId="0" fontId="0" fillId="0" borderId="0" xfId="21" applyFill="1" applyAlignment="1">
      <alignment/>
      <protection/>
    </xf>
    <xf numFmtId="3" fontId="0" fillId="0" borderId="0" xfId="21" applyNumberFormat="1" applyFill="1" applyAlignment="1">
      <alignment/>
      <protection/>
    </xf>
    <xf numFmtId="0" fontId="5" fillId="0" borderId="0" xfId="21" applyFont="1" applyFill="1" applyAlignment="1">
      <alignment/>
      <protection/>
    </xf>
    <xf numFmtId="0" fontId="28" fillId="0" borderId="0" xfId="21" applyFont="1" applyFill="1" applyAlignment="1">
      <alignment/>
      <protection/>
    </xf>
    <xf numFmtId="0" fontId="5" fillId="0" borderId="7" xfId="23" applyFont="1" applyFill="1" applyBorder="1" applyAlignment="1">
      <alignment horizontal="center"/>
      <protection/>
    </xf>
    <xf numFmtId="3" fontId="21" fillId="0" borderId="7" xfId="23" applyNumberFormat="1" applyFont="1" applyFill="1" applyBorder="1" applyAlignment="1">
      <alignment horizontal="left"/>
      <protection/>
    </xf>
    <xf numFmtId="1" fontId="21" fillId="0" borderId="7" xfId="23" applyNumberFormat="1" applyFont="1" applyFill="1" applyBorder="1" applyAlignment="1">
      <alignment wrapText="1"/>
      <protection/>
    </xf>
    <xf numFmtId="1" fontId="21" fillId="0" borderId="9" xfId="23" applyNumberFormat="1" applyFont="1" applyFill="1" applyBorder="1" applyAlignment="1">
      <alignment wrapText="1"/>
      <protection/>
    </xf>
    <xf numFmtId="0" fontId="5" fillId="0" borderId="9" xfId="23" applyFont="1" applyFill="1" applyBorder="1" applyAlignment="1">
      <alignment wrapText="1"/>
      <protection/>
    </xf>
    <xf numFmtId="0" fontId="21" fillId="0" borderId="7" xfId="23" applyFont="1" applyFill="1" applyBorder="1" applyAlignment="1">
      <alignment horizontal="justify"/>
      <protection/>
    </xf>
    <xf numFmtId="1" fontId="21" fillId="0" borderId="9" xfId="23" applyNumberFormat="1" applyFont="1" applyFill="1" applyBorder="1" applyAlignment="1">
      <alignment/>
      <protection/>
    </xf>
    <xf numFmtId="0" fontId="5" fillId="0" borderId="9" xfId="23" applyFont="1" applyFill="1" applyBorder="1" applyAlignment="1">
      <alignment horizontal="justify"/>
      <protection/>
    </xf>
    <xf numFmtId="0" fontId="5" fillId="0" borderId="8" xfId="23" applyFont="1" applyFill="1" applyBorder="1" applyAlignment="1">
      <alignment horizontal="center" wrapText="1"/>
      <protection/>
    </xf>
    <xf numFmtId="0" fontId="5" fillId="0" borderId="7" xfId="23" applyFont="1" applyFill="1" applyBorder="1">
      <alignment/>
      <protection/>
    </xf>
    <xf numFmtId="0" fontId="21" fillId="0" borderId="7" xfId="23" applyFont="1" applyFill="1" applyBorder="1" applyAlignment="1">
      <alignment/>
      <protection/>
    </xf>
    <xf numFmtId="1" fontId="21" fillId="0" borderId="7" xfId="23" applyNumberFormat="1" applyFont="1" applyFill="1" applyBorder="1" applyAlignment="1">
      <alignment/>
      <protection/>
    </xf>
    <xf numFmtId="0" fontId="7" fillId="0" borderId="14" xfId="23" applyFont="1" applyFill="1" applyBorder="1" applyAlignment="1">
      <alignment horizontal="left"/>
      <protection/>
    </xf>
    <xf numFmtId="0" fontId="7" fillId="0" borderId="15" xfId="23" applyFont="1" applyFill="1" applyBorder="1" applyAlignment="1">
      <alignment horizontal="center" wrapText="1"/>
      <protection/>
    </xf>
    <xf numFmtId="0" fontId="7" fillId="0" borderId="14" xfId="23" applyFont="1" applyFill="1" applyBorder="1">
      <alignment/>
      <protection/>
    </xf>
    <xf numFmtId="0" fontId="23" fillId="0" borderId="14" xfId="23" applyFont="1" applyFill="1" applyBorder="1" applyAlignment="1">
      <alignment/>
      <protection/>
    </xf>
    <xf numFmtId="1" fontId="23" fillId="0" borderId="14" xfId="23" applyNumberFormat="1" applyFont="1" applyFill="1" applyBorder="1" applyAlignment="1">
      <alignment/>
      <protection/>
    </xf>
    <xf numFmtId="0" fontId="7" fillId="0" borderId="14" xfId="23" applyFont="1" applyFill="1" applyBorder="1" applyAlignment="1">
      <alignment horizontal="justify"/>
      <protection/>
    </xf>
    <xf numFmtId="0" fontId="7" fillId="0" borderId="0" xfId="23" applyFont="1" applyFill="1" applyBorder="1">
      <alignment/>
      <protection/>
    </xf>
    <xf numFmtId="0" fontId="7" fillId="0" borderId="0" xfId="23" applyFont="1" applyBorder="1">
      <alignment/>
      <protection/>
    </xf>
    <xf numFmtId="0" fontId="5" fillId="0" borderId="7" xfId="23" applyFont="1" applyFill="1" applyBorder="1" applyAlignment="1">
      <alignment horizontal="center" vertical="center" wrapText="1"/>
      <protection/>
    </xf>
    <xf numFmtId="0" fontId="5" fillId="0" borderId="7" xfId="23" applyFont="1" applyFill="1" applyBorder="1" applyAlignment="1">
      <alignment/>
      <protection/>
    </xf>
    <xf numFmtId="3" fontId="5" fillId="6" borderId="7" xfId="23" applyNumberFormat="1" applyFont="1" applyFill="1" applyBorder="1" applyAlignment="1">
      <alignment/>
      <protection/>
    </xf>
    <xf numFmtId="4" fontId="5" fillId="6" borderId="7" xfId="23" applyNumberFormat="1" applyFont="1" applyFill="1" applyBorder="1" applyAlignment="1">
      <alignment/>
      <protection/>
    </xf>
    <xf numFmtId="0" fontId="5" fillId="0" borderId="7" xfId="23" applyFont="1" applyFill="1" applyBorder="1" applyAlignment="1">
      <alignment horizontal="justify"/>
      <protection/>
    </xf>
    <xf numFmtId="0" fontId="5" fillId="0" borderId="8" xfId="23" applyFont="1" applyFill="1" applyBorder="1" applyAlignment="1">
      <alignment horizontal="center" vertical="center" wrapText="1"/>
      <protection/>
    </xf>
    <xf numFmtId="0" fontId="5" fillId="0" borderId="8" xfId="23" applyFont="1" applyFill="1" applyBorder="1" applyAlignment="1">
      <alignment vertical="center"/>
      <protection/>
    </xf>
    <xf numFmtId="3" fontId="5" fillId="6" borderId="8" xfId="23" applyNumberFormat="1" applyFont="1" applyFill="1" applyBorder="1" applyAlignment="1">
      <alignment vertical="center"/>
      <protection/>
    </xf>
    <xf numFmtId="4" fontId="5" fillId="6" borderId="8" xfId="23" applyNumberFormat="1" applyFont="1" applyFill="1" applyBorder="1" applyAlignment="1">
      <alignment vertical="center"/>
      <protection/>
    </xf>
    <xf numFmtId="4" fontId="5" fillId="6" borderId="7" xfId="23" applyNumberFormat="1" applyFont="1" applyFill="1" applyBorder="1" applyAlignment="1">
      <alignment vertical="center"/>
      <protection/>
    </xf>
    <xf numFmtId="0" fontId="7" fillId="0" borderId="7" xfId="23" applyFont="1" applyFill="1" applyBorder="1" applyAlignment="1">
      <alignment horizontal="justify" vertical="center" wrapText="1"/>
      <protection/>
    </xf>
    <xf numFmtId="0" fontId="5" fillId="0" borderId="8" xfId="23" applyFont="1" applyFill="1" applyBorder="1" applyAlignment="1">
      <alignment/>
      <protection/>
    </xf>
    <xf numFmtId="3" fontId="5" fillId="6" borderId="8" xfId="23" applyNumberFormat="1" applyFont="1" applyFill="1" applyBorder="1" applyAlignment="1">
      <alignment/>
      <protection/>
    </xf>
    <xf numFmtId="4" fontId="5" fillId="6" borderId="8" xfId="23" applyNumberFormat="1" applyFont="1" applyFill="1" applyBorder="1" applyAlignment="1">
      <alignment/>
      <protection/>
    </xf>
    <xf numFmtId="0" fontId="5" fillId="0" borderId="8" xfId="23" applyFont="1" applyFill="1" applyBorder="1" applyAlignment="1">
      <alignment horizontal="center"/>
      <protection/>
    </xf>
    <xf numFmtId="0" fontId="5" fillId="0" borderId="8" xfId="23" applyFont="1" applyFill="1" applyBorder="1" applyAlignment="1">
      <alignment wrapText="1"/>
      <protection/>
    </xf>
    <xf numFmtId="0" fontId="5" fillId="0" borderId="8" xfId="23" applyFont="1" applyFill="1" applyBorder="1" applyAlignment="1">
      <alignment horizontal="justify"/>
      <protection/>
    </xf>
    <xf numFmtId="3" fontId="5" fillId="0" borderId="8" xfId="23" applyNumberFormat="1" applyFont="1" applyFill="1" applyBorder="1" applyAlignment="1">
      <alignment wrapText="1"/>
      <protection/>
    </xf>
    <xf numFmtId="0" fontId="5" fillId="0" borderId="16" xfId="23" applyFont="1" applyFill="1" applyBorder="1" applyAlignment="1">
      <alignment horizontal="center"/>
      <protection/>
    </xf>
    <xf numFmtId="0" fontId="5" fillId="0" borderId="16" xfId="23" applyFont="1" applyFill="1" applyBorder="1" applyAlignment="1">
      <alignment wrapText="1"/>
      <protection/>
    </xf>
    <xf numFmtId="3" fontId="5" fillId="6" borderId="16" xfId="23" applyNumberFormat="1" applyFont="1" applyFill="1" applyBorder="1" applyAlignment="1">
      <alignment wrapText="1"/>
      <protection/>
    </xf>
    <xf numFmtId="4" fontId="5" fillId="6" borderId="16" xfId="23" applyNumberFormat="1" applyFont="1" applyFill="1" applyBorder="1" applyAlignment="1">
      <alignment wrapText="1"/>
      <protection/>
    </xf>
    <xf numFmtId="3" fontId="5" fillId="0" borderId="16" xfId="23" applyNumberFormat="1" applyFont="1" applyFill="1" applyBorder="1" applyAlignment="1">
      <alignment wrapText="1"/>
      <protection/>
    </xf>
    <xf numFmtId="0" fontId="7" fillId="0" borderId="2" xfId="23" applyFont="1" applyFill="1" applyBorder="1" applyAlignment="1">
      <alignment horizontal="left" wrapText="1"/>
      <protection/>
    </xf>
    <xf numFmtId="3" fontId="7" fillId="0" borderId="2" xfId="23" applyNumberFormat="1" applyFont="1" applyFill="1" applyBorder="1" applyAlignment="1">
      <alignment/>
      <protection/>
    </xf>
    <xf numFmtId="4" fontId="7" fillId="0" borderId="2" xfId="23" applyNumberFormat="1" applyFont="1" applyFill="1" applyBorder="1" applyAlignment="1">
      <alignment/>
      <protection/>
    </xf>
    <xf numFmtId="4" fontId="7" fillId="6" borderId="2" xfId="23" applyNumberFormat="1" applyFont="1" applyFill="1" applyBorder="1" applyAlignment="1">
      <alignment/>
      <protection/>
    </xf>
    <xf numFmtId="0" fontId="23" fillId="0" borderId="0" xfId="23" applyFont="1" applyFill="1" applyBorder="1" applyAlignment="1">
      <alignment horizontal="left" wrapText="1"/>
      <protection/>
    </xf>
    <xf numFmtId="3" fontId="7" fillId="0" borderId="0" xfId="23" applyNumberFormat="1" applyFont="1" applyFill="1" applyBorder="1" applyAlignment="1">
      <alignment/>
      <protection/>
    </xf>
    <xf numFmtId="1" fontId="7" fillId="0" borderId="0" xfId="23" applyNumberFormat="1" applyFont="1" applyFill="1" applyBorder="1" applyAlignment="1">
      <alignment/>
      <protection/>
    </xf>
    <xf numFmtId="0" fontId="5" fillId="0" borderId="0" xfId="23" applyFont="1" applyFill="1" applyBorder="1" applyAlignment="1">
      <alignment horizontal="right" wrapText="1"/>
      <protection/>
    </xf>
    <xf numFmtId="3" fontId="5" fillId="0" borderId="0" xfId="23" applyNumberFormat="1" applyFill="1" applyBorder="1">
      <alignment/>
      <protection/>
    </xf>
    <xf numFmtId="3" fontId="5" fillId="0" borderId="7" xfId="23" applyNumberFormat="1" applyFont="1" applyFill="1" applyBorder="1" applyAlignment="1">
      <alignment vertical="center"/>
      <protection/>
    </xf>
    <xf numFmtId="4" fontId="5" fillId="0" borderId="7" xfId="23" applyNumberFormat="1" applyFont="1" applyFill="1" applyBorder="1" applyAlignment="1">
      <alignment vertical="center"/>
      <protection/>
    </xf>
    <xf numFmtId="3" fontId="5" fillId="0" borderId="7" xfId="23" applyNumberFormat="1" applyFont="1" applyFill="1" applyBorder="1" applyAlignment="1">
      <alignment vertical="center" wrapText="1"/>
      <protection/>
    </xf>
    <xf numFmtId="0" fontId="5" fillId="0" borderId="0" xfId="23" applyFill="1" applyAlignment="1">
      <alignment vertical="center"/>
      <protection/>
    </xf>
    <xf numFmtId="3" fontId="5" fillId="0" borderId="8" xfId="23" applyNumberFormat="1" applyFont="1" applyFill="1" applyBorder="1" applyAlignment="1">
      <alignment vertical="center"/>
      <protection/>
    </xf>
    <xf numFmtId="4" fontId="5" fillId="0" borderId="8" xfId="23" applyNumberFormat="1" applyFont="1" applyFill="1" applyBorder="1" applyAlignment="1">
      <alignment vertical="center"/>
      <protection/>
    </xf>
    <xf numFmtId="0" fontId="5" fillId="0" borderId="8" xfId="23" applyFont="1" applyFill="1" applyBorder="1" applyAlignment="1">
      <alignment vertical="center" wrapText="1"/>
      <protection/>
    </xf>
    <xf numFmtId="3" fontId="5" fillId="0" borderId="7" xfId="23" applyNumberFormat="1" applyFont="1" applyFill="1" applyBorder="1" applyAlignment="1">
      <alignment wrapText="1"/>
      <protection/>
    </xf>
    <xf numFmtId="0" fontId="5" fillId="0" borderId="8" xfId="23" applyFont="1" applyFill="1" applyBorder="1" applyAlignment="1">
      <alignment horizontal="left" wrapText="1"/>
      <protection/>
    </xf>
    <xf numFmtId="3" fontId="5" fillId="0" borderId="8" xfId="23" applyNumberFormat="1" applyFont="1" applyFill="1" applyBorder="1" applyAlignment="1">
      <alignment/>
      <protection/>
    </xf>
    <xf numFmtId="4" fontId="5" fillId="0" borderId="8" xfId="23" applyNumberFormat="1" applyFont="1" applyFill="1" applyBorder="1" applyAlignment="1">
      <alignment/>
      <protection/>
    </xf>
    <xf numFmtId="0" fontId="5" fillId="0" borderId="7" xfId="23" applyFont="1" applyFill="1" applyBorder="1" applyAlignment="1">
      <alignment wrapText="1"/>
      <protection/>
    </xf>
    <xf numFmtId="0" fontId="12" fillId="7" borderId="2" xfId="22" applyFont="1" applyFill="1" applyBorder="1" applyAlignment="1">
      <alignment horizontal="center" vertical="center" wrapText="1"/>
      <protection/>
    </xf>
    <xf numFmtId="3" fontId="7" fillId="7" borderId="2" xfId="24" applyNumberFormat="1" applyFont="1" applyFill="1" applyBorder="1" applyAlignment="1">
      <alignment horizontal="center" vertical="center" wrapText="1"/>
      <protection/>
    </xf>
    <xf numFmtId="3" fontId="12" fillId="7" borderId="2" xfId="22" applyNumberFormat="1" applyFont="1" applyFill="1" applyBorder="1" applyAlignment="1">
      <alignment horizontal="center" vertical="center" wrapText="1"/>
      <protection/>
    </xf>
    <xf numFmtId="0" fontId="12" fillId="7" borderId="2" xfId="22" applyFont="1" applyFill="1" applyBorder="1" applyAlignment="1">
      <alignment/>
      <protection/>
    </xf>
    <xf numFmtId="0" fontId="12" fillId="0" borderId="0" xfId="22" applyFont="1" applyBorder="1" applyAlignment="1">
      <alignment horizontal="left" vertic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0" fillId="0" borderId="0" xfId="22">
      <alignment/>
      <protection/>
    </xf>
    <xf numFmtId="0" fontId="0" fillId="0" borderId="7" xfId="22" applyFont="1" applyFill="1" applyBorder="1" applyAlignment="1">
      <alignment horizontal="center" vertical="center" wrapText="1"/>
      <protection/>
    </xf>
    <xf numFmtId="0" fontId="0" fillId="0" borderId="7" xfId="22" applyFont="1" applyFill="1" applyBorder="1" applyAlignment="1">
      <alignment horizontal="left" vertical="center" wrapText="1"/>
      <protection/>
    </xf>
    <xf numFmtId="3" fontId="0" fillId="0" borderId="7" xfId="22" applyNumberFormat="1" applyFont="1" applyFill="1" applyBorder="1" applyAlignment="1">
      <alignment horizontal="right" vertical="center"/>
      <protection/>
    </xf>
    <xf numFmtId="4" fontId="0" fillId="0" borderId="7" xfId="22" applyNumberFormat="1" applyFont="1" applyFill="1" applyBorder="1" applyAlignment="1">
      <alignment horizontal="right" vertical="center"/>
      <protection/>
    </xf>
    <xf numFmtId="0" fontId="0" fillId="0" borderId="7" xfId="22" applyFont="1" applyFill="1" applyBorder="1" applyAlignment="1">
      <alignment wrapText="1"/>
      <protection/>
    </xf>
    <xf numFmtId="0" fontId="0" fillId="0" borderId="7" xfId="22" applyFont="1" applyBorder="1">
      <alignment/>
      <protection/>
    </xf>
    <xf numFmtId="0" fontId="0" fillId="0" borderId="7" xfId="22" applyBorder="1">
      <alignment/>
      <protection/>
    </xf>
    <xf numFmtId="0" fontId="0" fillId="0" borderId="8" xfId="22" applyFont="1" applyFill="1" applyBorder="1" applyAlignment="1">
      <alignment horizontal="center" vertical="center" wrapText="1"/>
      <protection/>
    </xf>
    <xf numFmtId="0" fontId="0" fillId="0" borderId="8" xfId="22" applyFont="1" applyFill="1" applyBorder="1" applyAlignment="1">
      <alignment horizontal="left" vertical="center" wrapText="1"/>
      <protection/>
    </xf>
    <xf numFmtId="3" fontId="0" fillId="0" borderId="8" xfId="22" applyNumberFormat="1" applyFont="1" applyFill="1" applyBorder="1" applyAlignment="1">
      <alignment horizontal="right" vertical="center"/>
      <protection/>
    </xf>
    <xf numFmtId="4" fontId="0" fillId="0" borderId="8" xfId="22" applyNumberFormat="1" applyFont="1" applyFill="1" applyBorder="1" applyAlignment="1">
      <alignment horizontal="right" vertical="center"/>
      <protection/>
    </xf>
    <xf numFmtId="0" fontId="0" fillId="0" borderId="8" xfId="22" applyFont="1" applyFill="1" applyBorder="1" applyAlignment="1">
      <alignment wrapText="1"/>
      <protection/>
    </xf>
    <xf numFmtId="0" fontId="0" fillId="0" borderId="8" xfId="22" applyFont="1" applyBorder="1">
      <alignment/>
      <protection/>
    </xf>
    <xf numFmtId="0" fontId="0" fillId="0" borderId="8" xfId="22" applyBorder="1">
      <alignment/>
      <protection/>
    </xf>
    <xf numFmtId="0" fontId="0" fillId="0" borderId="16" xfId="22" applyFont="1" applyFill="1" applyBorder="1" applyAlignment="1">
      <alignment horizontal="center" vertical="center" wrapText="1"/>
      <protection/>
    </xf>
    <xf numFmtId="0" fontId="0" fillId="0" borderId="16" xfId="22" applyFont="1" applyFill="1" applyBorder="1" applyAlignment="1">
      <alignment horizontal="left" vertical="center" wrapText="1"/>
      <protection/>
    </xf>
    <xf numFmtId="3" fontId="0" fillId="0" borderId="16" xfId="22" applyNumberFormat="1" applyFont="1" applyFill="1" applyBorder="1" applyAlignment="1">
      <alignment horizontal="right" vertical="center"/>
      <protection/>
    </xf>
    <xf numFmtId="4" fontId="0" fillId="0" borderId="16" xfId="22" applyNumberFormat="1" applyFont="1" applyFill="1" applyBorder="1" applyAlignment="1">
      <alignment horizontal="right" vertical="center"/>
      <protection/>
    </xf>
    <xf numFmtId="0" fontId="0" fillId="0" borderId="16" xfId="22" applyFont="1" applyFill="1" applyBorder="1" applyAlignment="1">
      <alignment wrapText="1"/>
      <protection/>
    </xf>
    <xf numFmtId="0" fontId="0" fillId="0" borderId="16" xfId="22" applyFont="1" applyBorder="1">
      <alignment/>
      <protection/>
    </xf>
    <xf numFmtId="0" fontId="0" fillId="0" borderId="16" xfId="22" applyBorder="1">
      <alignment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 wrapText="1"/>
      <protection/>
    </xf>
    <xf numFmtId="3" fontId="12" fillId="0" borderId="2" xfId="22" applyNumberFormat="1" applyFont="1" applyFill="1" applyBorder="1" applyAlignment="1">
      <alignment horizontal="right" vertical="center"/>
      <protection/>
    </xf>
    <xf numFmtId="4" fontId="12" fillId="0" borderId="2" xfId="22" applyNumberFormat="1" applyFont="1" applyFill="1" applyBorder="1" applyAlignment="1">
      <alignment horizontal="right" vertical="center"/>
      <protection/>
    </xf>
    <xf numFmtId="4" fontId="12" fillId="0" borderId="2" xfId="22" applyNumberFormat="1" applyFont="1" applyFill="1" applyBorder="1" applyAlignment="1">
      <alignment horizontal="right" vertical="center"/>
      <protection/>
    </xf>
    <xf numFmtId="0" fontId="12" fillId="0" borderId="2" xfId="22" applyFont="1" applyFill="1" applyBorder="1" applyAlignment="1">
      <alignment wrapText="1"/>
      <protection/>
    </xf>
    <xf numFmtId="0" fontId="12" fillId="0" borderId="2" xfId="22" applyFont="1" applyBorder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3" fontId="0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2" applyFont="1" applyFill="1" applyAlignment="1">
      <alignment/>
      <protection/>
    </xf>
    <xf numFmtId="4" fontId="0" fillId="0" borderId="0" xfId="22" applyNumberFormat="1" applyFont="1" applyFill="1">
      <alignment/>
      <protection/>
    </xf>
    <xf numFmtId="0" fontId="7" fillId="0" borderId="8" xfId="23" applyFont="1" applyFill="1" applyBorder="1" applyAlignment="1">
      <alignment horizontal="left" vertical="center" wrapText="1"/>
      <protection/>
    </xf>
    <xf numFmtId="3" fontId="5" fillId="6" borderId="8" xfId="23" applyNumberFormat="1" applyFont="1" applyFill="1" applyBorder="1" applyAlignment="1">
      <alignment vertical="center" wrapText="1"/>
      <protection/>
    </xf>
    <xf numFmtId="4" fontId="5" fillId="6" borderId="8" xfId="23" applyNumberFormat="1" applyFont="1" applyFill="1" applyBorder="1" applyAlignment="1">
      <alignment vertical="center" wrapText="1"/>
      <protection/>
    </xf>
    <xf numFmtId="0" fontId="5" fillId="0" borderId="11" xfId="23" applyFont="1" applyFill="1" applyBorder="1" applyAlignment="1">
      <alignment horizontal="center"/>
      <protection/>
    </xf>
    <xf numFmtId="0" fontId="7" fillId="0" borderId="7" xfId="23" applyFont="1" applyFill="1" applyBorder="1" applyAlignment="1">
      <alignment horizontal="justify"/>
      <protection/>
    </xf>
    <xf numFmtId="0" fontId="5" fillId="0" borderId="7" xfId="23" applyFont="1" applyBorder="1" applyAlignment="1">
      <alignment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15" applyNumberFormat="1" applyFont="1" applyFill="1" applyBorder="1" applyAlignment="1">
      <alignment horizontal="right" vertical="center"/>
    </xf>
    <xf numFmtId="4" fontId="4" fillId="6" borderId="24" xfId="15" applyNumberFormat="1" applyFont="1" applyFill="1" applyBorder="1" applyAlignment="1">
      <alignment horizontal="right" vertical="center"/>
    </xf>
    <xf numFmtId="4" fontId="4" fillId="0" borderId="7" xfId="15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9" xfId="15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" fontId="4" fillId="6" borderId="9" xfId="15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6" fillId="8" borderId="29" xfId="0" applyFont="1" applyFill="1" applyBorder="1" applyAlignment="1">
      <alignment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vertical="center"/>
    </xf>
    <xf numFmtId="4" fontId="6" fillId="8" borderId="16" xfId="0" applyNumberFormat="1" applyFont="1" applyFill="1" applyBorder="1" applyAlignment="1">
      <alignment vertical="center"/>
    </xf>
    <xf numFmtId="4" fontId="6" fillId="8" borderId="16" xfId="15" applyNumberFormat="1" applyFont="1" applyFill="1" applyBorder="1" applyAlignment="1">
      <alignment horizontal="right" vertical="center"/>
    </xf>
    <xf numFmtId="0" fontId="4" fillId="8" borderId="31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5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2" xfId="15" applyNumberFormat="1" applyFont="1" applyFill="1" applyBorder="1" applyAlignment="1">
      <alignment horizontal="right" vertical="center"/>
    </xf>
    <xf numFmtId="4" fontId="4" fillId="0" borderId="35" xfId="15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1" xfId="15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4" fontId="6" fillId="8" borderId="3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4" fillId="0" borderId="33" xfId="15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4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/>
    </xf>
    <xf numFmtId="4" fontId="6" fillId="8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205" fontId="4" fillId="0" borderId="0" xfId="0" applyNumberFormat="1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top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41" xfId="0" applyNumberFormat="1" applyFont="1" applyFill="1" applyBorder="1" applyAlignment="1">
      <alignment horizontal="right" vertical="center" wrapText="1"/>
    </xf>
    <xf numFmtId="4" fontId="4" fillId="0" borderId="41" xfId="15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top"/>
    </xf>
    <xf numFmtId="0" fontId="4" fillId="0" borderId="27" xfId="0" applyFont="1" applyBorder="1" applyAlignment="1">
      <alignment vertical="top"/>
    </xf>
    <xf numFmtId="4" fontId="4" fillId="0" borderId="8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9" fillId="8" borderId="29" xfId="0" applyFont="1" applyFill="1" applyBorder="1" applyAlignment="1">
      <alignment vertical="center"/>
    </xf>
    <xf numFmtId="0" fontId="30" fillId="8" borderId="30" xfId="0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vertical="center"/>
    </xf>
    <xf numFmtId="205" fontId="6" fillId="8" borderId="30" xfId="0" applyNumberFormat="1" applyFont="1" applyFill="1" applyBorder="1" applyAlignment="1">
      <alignment horizontal="right" vertical="center" wrapText="1"/>
    </xf>
    <xf numFmtId="4" fontId="6" fillId="8" borderId="17" xfId="15" applyNumberFormat="1" applyFont="1" applyFill="1" applyBorder="1" applyAlignment="1">
      <alignment horizontal="right" vertical="center"/>
    </xf>
    <xf numFmtId="205" fontId="6" fillId="8" borderId="16" xfId="0" applyNumberFormat="1" applyFont="1" applyFill="1" applyBorder="1" applyAlignment="1">
      <alignment horizontal="right" vertical="center" wrapText="1"/>
    </xf>
    <xf numFmtId="0" fontId="30" fillId="8" borderId="46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29" fillId="4" borderId="47" xfId="0" applyFont="1" applyFill="1" applyBorder="1" applyAlignment="1">
      <alignment horizontal="left" vertical="center"/>
    </xf>
    <xf numFmtId="0" fontId="29" fillId="4" borderId="48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vertical="center"/>
    </xf>
    <xf numFmtId="0" fontId="29" fillId="4" borderId="48" xfId="0" applyFont="1" applyFill="1" applyBorder="1" applyAlignment="1">
      <alignment vertical="center" wrapText="1"/>
    </xf>
    <xf numFmtId="4" fontId="29" fillId="4" borderId="49" xfId="0" applyNumberFormat="1" applyFont="1" applyFill="1" applyBorder="1" applyAlignment="1">
      <alignment horizontal="right" vertical="center" wrapText="1"/>
    </xf>
    <xf numFmtId="4" fontId="6" fillId="4" borderId="50" xfId="15" applyNumberFormat="1" applyFont="1" applyFill="1" applyBorder="1" applyAlignment="1">
      <alignment horizontal="right" vertical="center"/>
    </xf>
    <xf numFmtId="4" fontId="6" fillId="4" borderId="48" xfId="15" applyNumberFormat="1" applyFont="1" applyFill="1" applyBorder="1" applyAlignment="1">
      <alignment horizontal="right" vertical="center"/>
    </xf>
    <xf numFmtId="0" fontId="30" fillId="4" borderId="51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30" fillId="0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horizontal="right" vertical="center" wrapText="1"/>
    </xf>
    <xf numFmtId="205" fontId="30" fillId="0" borderId="20" xfId="0" applyNumberFormat="1" applyFont="1" applyFill="1" applyBorder="1" applyAlignment="1">
      <alignment horizontal="right" vertical="center" wrapText="1"/>
    </xf>
    <xf numFmtId="0" fontId="29" fillId="2" borderId="32" xfId="0" applyFont="1" applyFill="1" applyBorder="1" applyAlignment="1">
      <alignment vertical="center" wrapText="1"/>
    </xf>
    <xf numFmtId="0" fontId="29" fillId="2" borderId="22" xfId="0" applyFont="1" applyFill="1" applyBorder="1" applyAlignment="1">
      <alignment vertical="center" wrapText="1"/>
    </xf>
    <xf numFmtId="4" fontId="29" fillId="2" borderId="22" xfId="0" applyNumberFormat="1" applyFont="1" applyFill="1" applyBorder="1" applyAlignment="1">
      <alignment horizontal="right" vertical="center" wrapText="1"/>
    </xf>
    <xf numFmtId="4" fontId="6" fillId="2" borderId="33" xfId="15" applyNumberFormat="1" applyFont="1" applyFill="1" applyBorder="1" applyAlignment="1">
      <alignment horizontal="right" vertical="center"/>
    </xf>
    <xf numFmtId="0" fontId="30" fillId="2" borderId="36" xfId="0" applyFont="1" applyFill="1" applyBorder="1" applyAlignment="1">
      <alignment vertical="center" wrapText="1"/>
    </xf>
    <xf numFmtId="0" fontId="29" fillId="2" borderId="23" xfId="0" applyFont="1" applyFill="1" applyBorder="1" applyAlignment="1">
      <alignment vertical="center" wrapText="1"/>
    </xf>
    <xf numFmtId="0" fontId="29" fillId="2" borderId="13" xfId="0" applyFont="1" applyFill="1" applyBorder="1" applyAlignment="1">
      <alignment vertical="center" wrapText="1"/>
    </xf>
    <xf numFmtId="4" fontId="29" fillId="2" borderId="13" xfId="0" applyNumberFormat="1" applyFont="1" applyFill="1" applyBorder="1" applyAlignment="1">
      <alignment horizontal="right" vertical="center" wrapText="1"/>
    </xf>
    <xf numFmtId="4" fontId="6" fillId="2" borderId="7" xfId="15" applyNumberFormat="1" applyFont="1" applyFill="1" applyBorder="1" applyAlignment="1">
      <alignment horizontal="right" vertical="center"/>
    </xf>
    <xf numFmtId="0" fontId="30" fillId="2" borderId="44" xfId="0" applyFont="1" applyFill="1" applyBorder="1" applyAlignment="1">
      <alignment vertical="center" wrapText="1"/>
    </xf>
    <xf numFmtId="0" fontId="30" fillId="2" borderId="26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vertical="center" wrapText="1"/>
    </xf>
    <xf numFmtId="4" fontId="30" fillId="2" borderId="7" xfId="0" applyNumberFormat="1" applyFont="1" applyFill="1" applyBorder="1" applyAlignment="1">
      <alignment horizontal="right" vertical="center" wrapText="1"/>
    </xf>
    <xf numFmtId="4" fontId="4" fillId="2" borderId="7" xfId="15" applyNumberFormat="1" applyFont="1" applyFill="1" applyBorder="1" applyAlignment="1">
      <alignment horizontal="right" vertical="center"/>
    </xf>
    <xf numFmtId="0" fontId="30" fillId="2" borderId="27" xfId="0" applyFont="1" applyFill="1" applyBorder="1" applyAlignment="1">
      <alignment vertical="center" wrapText="1"/>
    </xf>
    <xf numFmtId="0" fontId="30" fillId="2" borderId="26" xfId="0" applyFont="1" applyFill="1" applyBorder="1" applyAlignment="1">
      <alignment vertical="center"/>
    </xf>
    <xf numFmtId="0" fontId="29" fillId="2" borderId="26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4" fontId="29" fillId="2" borderId="7" xfId="0" applyNumberFormat="1" applyFont="1" applyFill="1" applyBorder="1" applyAlignment="1">
      <alignment horizontal="right" vertical="center" wrapText="1"/>
    </xf>
    <xf numFmtId="0" fontId="29" fillId="2" borderId="42" xfId="0" applyFont="1" applyFill="1" applyBorder="1" applyAlignment="1">
      <alignment vertical="center"/>
    </xf>
    <xf numFmtId="0" fontId="29" fillId="2" borderId="8" xfId="0" applyFont="1" applyFill="1" applyBorder="1" applyAlignment="1">
      <alignment vertical="center" wrapText="1"/>
    </xf>
    <xf numFmtId="4" fontId="29" fillId="2" borderId="8" xfId="0" applyNumberFormat="1" applyFont="1" applyFill="1" applyBorder="1" applyAlignment="1">
      <alignment horizontal="right" vertical="center" wrapText="1"/>
    </xf>
    <xf numFmtId="4" fontId="6" fillId="2" borderId="13" xfId="15" applyNumberFormat="1" applyFont="1" applyFill="1" applyBorder="1" applyAlignment="1">
      <alignment horizontal="right" vertical="center"/>
    </xf>
    <xf numFmtId="0" fontId="30" fillId="2" borderId="37" xfId="0" applyFont="1" applyFill="1" applyBorder="1" applyAlignment="1">
      <alignment vertical="center" wrapText="1"/>
    </xf>
    <xf numFmtId="0" fontId="29" fillId="4" borderId="18" xfId="0" applyFont="1" applyFill="1" applyBorder="1" applyAlignment="1">
      <alignment vertical="center"/>
    </xf>
    <xf numFmtId="0" fontId="30" fillId="4" borderId="20" xfId="0" applyFont="1" applyFill="1" applyBorder="1" applyAlignment="1">
      <alignment vertical="center" wrapText="1"/>
    </xf>
    <xf numFmtId="0" fontId="29" fillId="4" borderId="52" xfId="0" applyFont="1" applyFill="1" applyBorder="1" applyAlignment="1">
      <alignment vertical="center" wrapText="1"/>
    </xf>
    <xf numFmtId="4" fontId="29" fillId="4" borderId="50" xfId="0" applyNumberFormat="1" applyFont="1" applyFill="1" applyBorder="1" applyAlignment="1">
      <alignment horizontal="right" vertical="center" wrapText="1"/>
    </xf>
    <xf numFmtId="4" fontId="29" fillId="4" borderId="50" xfId="15" applyNumberFormat="1" applyFont="1" applyFill="1" applyBorder="1" applyAlignment="1">
      <alignment horizontal="right" vertical="center"/>
    </xf>
    <xf numFmtId="0" fontId="29" fillId="4" borderId="4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1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3" fontId="33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4" fontId="3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3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 wrapText="1"/>
    </xf>
    <xf numFmtId="3" fontId="3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29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30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left" vertical="center"/>
    </xf>
    <xf numFmtId="3" fontId="30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3" fontId="36" fillId="4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4" fontId="36" fillId="4" borderId="2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4" fontId="36" fillId="0" borderId="13" xfId="0" applyNumberFormat="1" applyFont="1" applyBorder="1" applyAlignment="1">
      <alignment vertical="center" wrapText="1"/>
    </xf>
    <xf numFmtId="3" fontId="36" fillId="0" borderId="7" xfId="0" applyNumberFormat="1" applyFont="1" applyBorder="1" applyAlignment="1">
      <alignment vertical="center"/>
    </xf>
    <xf numFmtId="4" fontId="36" fillId="0" borderId="7" xfId="0" applyNumberFormat="1" applyFont="1" applyBorder="1" applyAlignment="1">
      <alignment vertical="center" wrapText="1"/>
    </xf>
    <xf numFmtId="1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left" vertical="center" shrinkToFit="1"/>
    </xf>
    <xf numFmtId="3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left" vertical="top" shrinkToFit="1"/>
    </xf>
    <xf numFmtId="4" fontId="36" fillId="4" borderId="2" xfId="0" applyNumberFormat="1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top" shrinkToFit="1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4" fillId="6" borderId="13" xfId="0" applyNumberFormat="1" applyFont="1" applyFill="1" applyBorder="1" applyAlignment="1">
      <alignment horizontal="center" vertical="center" wrapText="1"/>
    </xf>
    <xf numFmtId="3" fontId="6" fillId="6" borderId="13" xfId="0" applyNumberFormat="1" applyFont="1" applyFill="1" applyBorder="1" applyAlignment="1">
      <alignment horizontal="left" vertical="center" wrapText="1"/>
    </xf>
    <xf numFmtId="4" fontId="4" fillId="6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/>
    </xf>
    <xf numFmtId="3" fontId="4" fillId="6" borderId="7" xfId="0" applyNumberFormat="1" applyFont="1" applyFill="1" applyBorder="1" applyAlignment="1">
      <alignment horizontal="center" vertical="center" wrapText="1"/>
    </xf>
    <xf numFmtId="4" fontId="4" fillId="6" borderId="7" xfId="0" applyNumberFormat="1" applyFont="1" applyFill="1" applyBorder="1" applyAlignment="1">
      <alignment horizontal="right" vertical="center" wrapText="1"/>
    </xf>
    <xf numFmtId="14" fontId="35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shrinkToFi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14" fontId="35" fillId="0" borderId="50" xfId="0" applyNumberFormat="1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4" fillId="0" borderId="54" xfId="0" applyFont="1" applyFill="1" applyBorder="1" applyAlignment="1">
      <alignment horizontal="left" vertical="center" wrapText="1" shrinkToFit="1"/>
    </xf>
    <xf numFmtId="3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0" fillId="2" borderId="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1" fillId="9" borderId="32" xfId="0" applyFont="1" applyFill="1" applyBorder="1" applyAlignment="1">
      <alignment horizontal="center" vertical="center" wrapText="1"/>
    </xf>
    <xf numFmtId="0" fontId="11" fillId="9" borderId="55" xfId="0" applyFont="1" applyFill="1" applyBorder="1" applyAlignment="1">
      <alignment horizontal="center" vertical="center" wrapText="1"/>
    </xf>
    <xf numFmtId="3" fontId="3" fillId="9" borderId="22" xfId="0" applyNumberFormat="1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41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 wrapText="1"/>
    </xf>
    <xf numFmtId="0" fontId="11" fillId="0" borderId="57" xfId="0" applyNumberFormat="1" applyFont="1" applyFill="1" applyBorder="1" applyAlignment="1">
      <alignment vertical="center" wrapText="1"/>
    </xf>
    <xf numFmtId="0" fontId="13" fillId="0" borderId="57" xfId="0" applyNumberFormat="1" applyFont="1" applyFill="1" applyBorder="1" applyAlignment="1">
      <alignment vertical="center"/>
    </xf>
    <xf numFmtId="0" fontId="11" fillId="0" borderId="57" xfId="0" applyNumberFormat="1" applyFont="1" applyFill="1" applyBorder="1" applyAlignment="1">
      <alignment vertical="center"/>
    </xf>
    <xf numFmtId="0" fontId="13" fillId="4" borderId="18" xfId="0" applyFont="1" applyFill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0" fontId="43" fillId="0" borderId="57" xfId="0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top"/>
    </xf>
    <xf numFmtId="4" fontId="44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vertical="center"/>
    </xf>
    <xf numFmtId="4" fontId="15" fillId="8" borderId="2" xfId="0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4" fillId="2" borderId="53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 wrapText="1"/>
    </xf>
    <xf numFmtId="3" fontId="35" fillId="2" borderId="7" xfId="0" applyNumberFormat="1" applyFont="1" applyFill="1" applyBorder="1" applyAlignment="1">
      <alignment horizontal="center" vertical="center" wrapText="1"/>
    </xf>
    <xf numFmtId="3" fontId="4" fillId="2" borderId="5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3" xfId="15" applyNumberFormat="1" applyFont="1" applyFill="1" applyBorder="1" applyAlignment="1">
      <alignment vertical="center" wrapText="1"/>
    </xf>
    <xf numFmtId="4" fontId="4" fillId="0" borderId="13" xfId="15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4" fontId="4" fillId="0" borderId="7" xfId="15" applyNumberFormat="1" applyFont="1" applyFill="1" applyBorder="1" applyAlignment="1">
      <alignment vertical="center" wrapText="1"/>
    </xf>
    <xf numFmtId="4" fontId="4" fillId="0" borderId="7" xfId="15" applyNumberFormat="1" applyFont="1" applyFill="1" applyBorder="1" applyAlignment="1">
      <alignment wrapText="1"/>
    </xf>
    <xf numFmtId="3" fontId="4" fillId="0" borderId="27" xfId="0" applyNumberFormat="1" applyFont="1" applyFill="1" applyBorder="1" applyAlignment="1">
      <alignment vertical="center" wrapText="1"/>
    </xf>
    <xf numFmtId="4" fontId="4" fillId="0" borderId="16" xfId="15" applyNumberFormat="1" applyFont="1" applyFill="1" applyBorder="1" applyAlignment="1">
      <alignment vertical="center" wrapText="1"/>
    </xf>
    <xf numFmtId="4" fontId="4" fillId="0" borderId="16" xfId="15" applyNumberFormat="1" applyFont="1" applyFill="1" applyBorder="1" applyAlignment="1">
      <alignment wrapText="1"/>
    </xf>
    <xf numFmtId="0" fontId="6" fillId="2" borderId="53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4" fontId="6" fillId="2" borderId="50" xfId="0" applyNumberFormat="1" applyFont="1" applyFill="1" applyBorder="1" applyAlignment="1">
      <alignment vertical="center"/>
    </xf>
    <xf numFmtId="4" fontId="6" fillId="2" borderId="59" xfId="0" applyNumberFormat="1" applyFont="1" applyFill="1" applyBorder="1" applyAlignment="1">
      <alignment vertical="center"/>
    </xf>
    <xf numFmtId="4" fontId="6" fillId="2" borderId="49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25" applyAlignment="1">
      <alignment horizontal="center"/>
      <protection/>
    </xf>
    <xf numFmtId="0" fontId="8" fillId="0" borderId="0" xfId="25" applyFont="1">
      <alignment/>
      <protection/>
    </xf>
    <xf numFmtId="0" fontId="45" fillId="0" borderId="0" xfId="25" applyFont="1">
      <alignment/>
      <protection/>
    </xf>
    <xf numFmtId="0" fontId="5" fillId="0" borderId="0" xfId="25">
      <alignment/>
      <protection/>
    </xf>
    <xf numFmtId="0" fontId="8" fillId="0" borderId="0" xfId="25" applyFont="1">
      <alignment/>
      <protection/>
    </xf>
    <xf numFmtId="0" fontId="45" fillId="0" borderId="0" xfId="25" applyFont="1" applyAlignment="1">
      <alignment horizontal="justify" wrapText="1"/>
      <protection/>
    </xf>
    <xf numFmtId="4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62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" fontId="9" fillId="0" borderId="64" xfId="0" applyNumberFormat="1" applyFont="1" applyBorder="1" applyAlignment="1">
      <alignment vertical="center"/>
    </xf>
    <xf numFmtId="4" fontId="9" fillId="0" borderId="65" xfId="0" applyNumberFormat="1" applyFont="1" applyBorder="1" applyAlignment="1">
      <alignment vertical="center"/>
    </xf>
    <xf numFmtId="4" fontId="9" fillId="0" borderId="60" xfId="0" applyNumberFormat="1" applyFont="1" applyBorder="1" applyAlignment="1">
      <alignment vertical="center"/>
    </xf>
    <xf numFmtId="4" fontId="9" fillId="0" borderId="66" xfId="0" applyNumberFormat="1" applyFont="1" applyBorder="1" applyAlignment="1">
      <alignment vertical="center"/>
    </xf>
    <xf numFmtId="0" fontId="3" fillId="0" borderId="0" xfId="0" applyFont="1" applyAlignment="1">
      <alignment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9" fillId="0" borderId="67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68" xfId="0" applyNumberFormat="1" applyFont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4" fontId="19" fillId="0" borderId="69" xfId="0" applyNumberFormat="1" applyFont="1" applyBorder="1" applyAlignment="1">
      <alignment vertical="center"/>
    </xf>
    <xf numFmtId="4" fontId="19" fillId="0" borderId="70" xfId="0" applyNumberFormat="1" applyFont="1" applyBorder="1" applyAlignment="1">
      <alignment vertical="center"/>
    </xf>
    <xf numFmtId="4" fontId="9" fillId="0" borderId="71" xfId="0" applyNumberFormat="1" applyFont="1" applyBorder="1" applyAlignment="1">
      <alignment vertical="center" wrapText="1"/>
    </xf>
    <xf numFmtId="4" fontId="9" fillId="0" borderId="71" xfId="0" applyNumberFormat="1" applyFont="1" applyBorder="1" applyAlignment="1">
      <alignment vertical="center"/>
    </xf>
    <xf numFmtId="4" fontId="9" fillId="0" borderId="72" xfId="0" applyNumberFormat="1" applyFont="1" applyBorder="1" applyAlignment="1">
      <alignment vertical="center"/>
    </xf>
    <xf numFmtId="4" fontId="47" fillId="2" borderId="47" xfId="0" applyNumberFormat="1" applyFont="1" applyFill="1" applyBorder="1" applyAlignment="1">
      <alignment vertical="center"/>
    </xf>
    <xf numFmtId="4" fontId="47" fillId="2" borderId="48" xfId="0" applyNumberFormat="1" applyFont="1" applyFill="1" applyBorder="1" applyAlignment="1">
      <alignment vertical="center"/>
    </xf>
    <xf numFmtId="4" fontId="47" fillId="2" borderId="73" xfId="0" applyNumberFormat="1" applyFont="1" applyFill="1" applyBorder="1" applyAlignment="1">
      <alignment vertical="center"/>
    </xf>
    <xf numFmtId="4" fontId="47" fillId="2" borderId="54" xfId="0" applyNumberFormat="1" applyFont="1" applyFill="1" applyBorder="1" applyAlignment="1">
      <alignment vertical="center"/>
    </xf>
    <xf numFmtId="4" fontId="47" fillId="2" borderId="51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76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60" xfId="0" applyNumberFormat="1" applyFont="1" applyFill="1" applyBorder="1" applyAlignment="1">
      <alignment horizontal="right" vertical="center"/>
    </xf>
    <xf numFmtId="4" fontId="9" fillId="0" borderId="66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0" borderId="3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4" fontId="9" fillId="0" borderId="52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7" xfId="0" applyNumberFormat="1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 wrapText="1"/>
    </xf>
    <xf numFmtId="0" fontId="9" fillId="0" borderId="77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4" fontId="9" fillId="0" borderId="37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4" fontId="9" fillId="0" borderId="70" xfId="0" applyNumberFormat="1" applyFont="1" applyBorder="1" applyAlignment="1">
      <alignment vertical="center" wrapText="1"/>
    </xf>
    <xf numFmtId="4" fontId="9" fillId="0" borderId="78" xfId="0" applyNumberFormat="1" applyFont="1" applyBorder="1" applyAlignment="1">
      <alignment vertical="center" wrapText="1"/>
    </xf>
    <xf numFmtId="4" fontId="9" fillId="0" borderId="79" xfId="0" applyNumberFormat="1" applyFont="1" applyBorder="1" applyAlignment="1">
      <alignment vertical="center" wrapText="1"/>
    </xf>
    <xf numFmtId="0" fontId="47" fillId="2" borderId="47" xfId="0" applyFont="1" applyFill="1" applyBorder="1" applyAlignment="1">
      <alignment vertical="center"/>
    </xf>
    <xf numFmtId="0" fontId="47" fillId="2" borderId="48" xfId="0" applyFont="1" applyFill="1" applyBorder="1" applyAlignment="1">
      <alignment vertical="center"/>
    </xf>
    <xf numFmtId="4" fontId="47" fillId="2" borderId="49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4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47" fillId="2" borderId="18" xfId="0" applyFont="1" applyFill="1" applyBorder="1" applyAlignment="1">
      <alignment vertical="center" wrapText="1"/>
    </xf>
    <xf numFmtId="0" fontId="47" fillId="2" borderId="52" xfId="0" applyFont="1" applyFill="1" applyBorder="1" applyAlignment="1">
      <alignment horizontal="left" vertical="center" wrapText="1"/>
    </xf>
    <xf numFmtId="4" fontId="47" fillId="2" borderId="20" xfId="0" applyNumberFormat="1" applyFont="1" applyFill="1" applyBorder="1" applyAlignment="1">
      <alignment vertical="center"/>
    </xf>
    <xf numFmtId="4" fontId="47" fillId="2" borderId="50" xfId="0" applyNumberFormat="1" applyFont="1" applyFill="1" applyBorder="1" applyAlignment="1">
      <alignment vertical="center"/>
    </xf>
    <xf numFmtId="4" fontId="47" fillId="2" borderId="3" xfId="0" applyNumberFormat="1" applyFont="1" applyFill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215" fontId="9" fillId="0" borderId="0" xfId="0" applyNumberFormat="1" applyFont="1" applyBorder="1" applyAlignment="1">
      <alignment vertical="center"/>
    </xf>
    <xf numFmtId="205" fontId="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205" fontId="14" fillId="0" borderId="0" xfId="0" applyNumberFormat="1" applyFont="1" applyBorder="1" applyAlignment="1">
      <alignment vertical="center"/>
    </xf>
    <xf numFmtId="8" fontId="0" fillId="0" borderId="0" xfId="0" applyNumberFormat="1" applyAlignment="1">
      <alignment/>
    </xf>
    <xf numFmtId="0" fontId="51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1" fontId="52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right"/>
    </xf>
    <xf numFmtId="49" fontId="51" fillId="0" borderId="0" xfId="0" applyNumberFormat="1" applyFont="1" applyBorder="1" applyAlignment="1">
      <alignment horizontal="right"/>
    </xf>
    <xf numFmtId="0" fontId="51" fillId="0" borderId="6" xfId="0" applyFont="1" applyBorder="1" applyAlignment="1">
      <alignment horizontal="center"/>
    </xf>
    <xf numFmtId="2" fontId="51" fillId="6" borderId="75" xfId="0" applyNumberFormat="1" applyFont="1" applyFill="1" applyBorder="1" applyAlignment="1">
      <alignment horizontal="center"/>
    </xf>
    <xf numFmtId="4" fontId="51" fillId="6" borderId="80" xfId="0" applyNumberFormat="1" applyFont="1" applyFill="1" applyBorder="1" applyAlignment="1">
      <alignment horizontal="center"/>
    </xf>
    <xf numFmtId="0" fontId="51" fillId="0" borderId="5" xfId="0" applyFont="1" applyBorder="1" applyAlignment="1">
      <alignment horizontal="center"/>
    </xf>
    <xf numFmtId="2" fontId="51" fillId="6" borderId="1" xfId="0" applyNumberFormat="1" applyFont="1" applyFill="1" applyBorder="1" applyAlignment="1">
      <alignment horizontal="center"/>
    </xf>
    <xf numFmtId="4" fontId="51" fillId="6" borderId="57" xfId="0" applyNumberFormat="1" applyFont="1" applyFill="1" applyBorder="1" applyAlignment="1">
      <alignment horizontal="center"/>
    </xf>
    <xf numFmtId="2" fontId="51" fillId="6" borderId="60" xfId="0" applyNumberFormat="1" applyFont="1" applyFill="1" applyBorder="1" applyAlignment="1">
      <alignment horizontal="center"/>
    </xf>
    <xf numFmtId="4" fontId="51" fillId="6" borderId="66" xfId="0" applyNumberFormat="1" applyFont="1" applyFill="1" applyBorder="1" applyAlignment="1">
      <alignment horizontal="center"/>
    </xf>
    <xf numFmtId="0" fontId="51" fillId="0" borderId="6" xfId="0" applyFont="1" applyBorder="1" applyAlignment="1">
      <alignment/>
    </xf>
    <xf numFmtId="0" fontId="33" fillId="0" borderId="0" xfId="26" applyFont="1" applyAlignment="1">
      <alignment horizontal="center"/>
      <protection/>
    </xf>
    <xf numFmtId="49" fontId="51" fillId="0" borderId="53" xfId="0" applyNumberFormat="1" applyFont="1" applyBorder="1" applyAlignment="1">
      <alignment horizontal="center"/>
    </xf>
    <xf numFmtId="1" fontId="51" fillId="0" borderId="52" xfId="0" applyNumberFormat="1" applyFont="1" applyBorder="1" applyAlignment="1">
      <alignment horizontal="center"/>
    </xf>
    <xf numFmtId="49" fontId="51" fillId="0" borderId="52" xfId="0" applyNumberFormat="1" applyFont="1" applyBorder="1" applyAlignment="1">
      <alignment horizontal="center"/>
    </xf>
    <xf numFmtId="3" fontId="51" fillId="0" borderId="52" xfId="0" applyNumberFormat="1" applyFont="1" applyBorder="1" applyAlignment="1">
      <alignment horizontal="center"/>
    </xf>
    <xf numFmtId="1" fontId="51" fillId="0" borderId="3" xfId="0" applyNumberFormat="1" applyFont="1" applyBorder="1" applyAlignment="1">
      <alignment horizontal="center"/>
    </xf>
    <xf numFmtId="1" fontId="51" fillId="0" borderId="81" xfId="0" applyNumberFormat="1" applyFont="1" applyBorder="1" applyAlignment="1">
      <alignment horizontal="left"/>
    </xf>
    <xf numFmtId="1" fontId="51" fillId="0" borderId="23" xfId="0" applyNumberFormat="1" applyFont="1" applyBorder="1" applyAlignment="1">
      <alignment horizontal="left"/>
    </xf>
    <xf numFmtId="3" fontId="51" fillId="0" borderId="60" xfId="0" applyNumberFormat="1" applyFont="1" applyBorder="1" applyAlignment="1">
      <alignment horizontal="right"/>
    </xf>
    <xf numFmtId="4" fontId="51" fillId="0" borderId="60" xfId="0" applyNumberFormat="1" applyFont="1" applyBorder="1" applyAlignment="1">
      <alignment horizontal="center"/>
    </xf>
    <xf numFmtId="4" fontId="51" fillId="0" borderId="60" xfId="0" applyNumberFormat="1" applyFont="1" applyBorder="1" applyAlignment="1">
      <alignment horizontal="right"/>
    </xf>
    <xf numFmtId="224" fontId="51" fillId="0" borderId="60" xfId="0" applyNumberFormat="1" applyFont="1" applyBorder="1" applyAlignment="1">
      <alignment horizontal="center"/>
    </xf>
    <xf numFmtId="4" fontId="51" fillId="0" borderId="66" xfId="0" applyNumberFormat="1" applyFont="1" applyBorder="1" applyAlignment="1">
      <alignment horizontal="center"/>
    </xf>
    <xf numFmtId="1" fontId="51" fillId="0" borderId="82" xfId="0" applyNumberFormat="1" applyFont="1" applyBorder="1" applyAlignment="1">
      <alignment horizontal="left"/>
    </xf>
    <xf numFmtId="1" fontId="51" fillId="0" borderId="58" xfId="0" applyNumberFormat="1" applyFont="1" applyBorder="1" applyAlignment="1">
      <alignment horizontal="left"/>
    </xf>
    <xf numFmtId="1" fontId="51" fillId="0" borderId="38" xfId="0" applyNumberFormat="1" applyFont="1" applyBorder="1" applyAlignment="1">
      <alignment horizontal="left"/>
    </xf>
    <xf numFmtId="0" fontId="52" fillId="0" borderId="2" xfId="0" applyFont="1" applyBorder="1" applyAlignment="1">
      <alignment vertical="center"/>
    </xf>
    <xf numFmtId="0" fontId="52" fillId="0" borderId="53" xfId="0" applyFont="1" applyBorder="1" applyAlignment="1">
      <alignment vertical="center"/>
    </xf>
    <xf numFmtId="3" fontId="52" fillId="0" borderId="52" xfId="0" applyNumberFormat="1" applyFont="1" applyBorder="1" applyAlignment="1">
      <alignment horizontal="right" vertical="center"/>
    </xf>
    <xf numFmtId="4" fontId="52" fillId="0" borderId="52" xfId="0" applyNumberFormat="1" applyFont="1" applyBorder="1" applyAlignment="1">
      <alignment horizontal="right" vertical="center"/>
    </xf>
    <xf numFmtId="4" fontId="52" fillId="0" borderId="52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right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38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4" fontId="51" fillId="0" borderId="0" xfId="0" applyNumberFormat="1" applyFont="1" applyAlignment="1">
      <alignment/>
    </xf>
    <xf numFmtId="0" fontId="51" fillId="0" borderId="74" xfId="0" applyFont="1" applyBorder="1" applyAlignment="1">
      <alignment horizontal="center"/>
    </xf>
    <xf numFmtId="4" fontId="51" fillId="0" borderId="43" xfId="0" applyNumberFormat="1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1" fillId="0" borderId="33" xfId="0" applyFont="1" applyBorder="1" applyAlignment="1">
      <alignment/>
    </xf>
    <xf numFmtId="4" fontId="51" fillId="0" borderId="75" xfId="0" applyNumberFormat="1" applyFont="1" applyBorder="1" applyAlignment="1">
      <alignment horizontal="center"/>
    </xf>
    <xf numFmtId="4" fontId="51" fillId="0" borderId="80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51" fillId="0" borderId="56" xfId="0" applyFont="1" applyBorder="1" applyAlignment="1">
      <alignment horizontal="center"/>
    </xf>
    <xf numFmtId="4" fontId="51" fillId="0" borderId="38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2" fontId="51" fillId="0" borderId="28" xfId="0" applyNumberFormat="1" applyFont="1" applyBorder="1" applyAlignment="1">
      <alignment horizontal="center"/>
    </xf>
    <xf numFmtId="4" fontId="51" fillId="0" borderId="1" xfId="0" applyNumberFormat="1" applyFont="1" applyBorder="1" applyAlignment="1">
      <alignment horizontal="center"/>
    </xf>
    <xf numFmtId="4" fontId="51" fillId="0" borderId="57" xfId="0" applyNumberFormat="1" applyFont="1" applyBorder="1" applyAlignment="1">
      <alignment horizontal="center"/>
    </xf>
    <xf numFmtId="4" fontId="51" fillId="0" borderId="23" xfId="0" applyNumberFormat="1" applyFont="1" applyBorder="1" applyAlignment="1">
      <alignment horizontal="center"/>
    </xf>
    <xf numFmtId="0" fontId="51" fillId="0" borderId="83" xfId="0" applyFont="1" applyBorder="1" applyAlignment="1">
      <alignment horizontal="center"/>
    </xf>
    <xf numFmtId="2" fontId="51" fillId="0" borderId="49" xfId="0" applyNumberFormat="1" applyFont="1" applyBorder="1" applyAlignment="1">
      <alignment horizontal="center"/>
    </xf>
    <xf numFmtId="1" fontId="51" fillId="0" borderId="53" xfId="0" applyNumberFormat="1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49" fontId="51" fillId="0" borderId="54" xfId="0" applyNumberFormat="1" applyFont="1" applyBorder="1" applyAlignment="1">
      <alignment horizontal="center"/>
    </xf>
    <xf numFmtId="1" fontId="0" fillId="0" borderId="81" xfId="0" applyNumberFormat="1" applyFont="1" applyBorder="1" applyAlignment="1">
      <alignment horizontal="left"/>
    </xf>
    <xf numFmtId="1" fontId="51" fillId="0" borderId="76" xfId="0" applyNumberFormat="1" applyFont="1" applyBorder="1" applyAlignment="1">
      <alignment horizontal="center"/>
    </xf>
    <xf numFmtId="4" fontId="51" fillId="0" borderId="66" xfId="0" applyNumberFormat="1" applyFont="1" applyBorder="1" applyAlignment="1">
      <alignment horizontal="right"/>
    </xf>
    <xf numFmtId="1" fontId="51" fillId="0" borderId="68" xfId="0" applyNumberFormat="1" applyFont="1" applyBorder="1" applyAlignment="1">
      <alignment horizontal="left"/>
    </xf>
    <xf numFmtId="4" fontId="0" fillId="0" borderId="60" xfId="0" applyNumberFormat="1" applyFont="1" applyBorder="1" applyAlignment="1">
      <alignment horizontal="right"/>
    </xf>
    <xf numFmtId="1" fontId="51" fillId="0" borderId="31" xfId="0" applyNumberFormat="1" applyFont="1" applyBorder="1" applyAlignment="1">
      <alignment horizontal="left"/>
    </xf>
    <xf numFmtId="0" fontId="52" fillId="0" borderId="58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4" fontId="52" fillId="0" borderId="5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4" fillId="0" borderId="0" xfId="26" applyFont="1">
      <alignment/>
      <protection/>
    </xf>
    <xf numFmtId="0" fontId="5" fillId="0" borderId="0" xfId="26">
      <alignment/>
      <protection/>
    </xf>
    <xf numFmtId="0" fontId="22" fillId="0" borderId="0" xfId="26" applyFont="1" applyAlignment="1">
      <alignment horizontal="right"/>
      <protection/>
    </xf>
    <xf numFmtId="0" fontId="22" fillId="0" borderId="0" xfId="26" applyFont="1">
      <alignment/>
      <protection/>
    </xf>
    <xf numFmtId="0" fontId="54" fillId="0" borderId="0" xfId="26" applyFont="1" applyAlignment="1">
      <alignment horizontal="center"/>
      <protection/>
    </xf>
    <xf numFmtId="0" fontId="7" fillId="0" borderId="0" xfId="26" applyFont="1">
      <alignment/>
      <protection/>
    </xf>
    <xf numFmtId="0" fontId="7" fillId="0" borderId="2" xfId="26" applyFont="1" applyBorder="1" applyAlignment="1">
      <alignment horizontal="center" vertical="center" wrapText="1"/>
      <protection/>
    </xf>
    <xf numFmtId="0" fontId="12" fillId="0" borderId="2" xfId="2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3" xfId="26" applyFont="1" applyFill="1" applyBorder="1" applyAlignment="1">
      <alignment horizontal="center" vertical="center" wrapText="1"/>
      <protection/>
    </xf>
    <xf numFmtId="3" fontId="5" fillId="0" borderId="58" xfId="26" applyNumberFormat="1" applyBorder="1" applyAlignment="1">
      <alignment horizontal="center" vertical="center"/>
      <protection/>
    </xf>
    <xf numFmtId="4" fontId="5" fillId="0" borderId="58" xfId="26" applyNumberFormat="1" applyBorder="1" applyAlignment="1">
      <alignment horizontal="center" vertical="center"/>
      <protection/>
    </xf>
    <xf numFmtId="0" fontId="5" fillId="0" borderId="58" xfId="26" applyBorder="1" applyAlignment="1">
      <alignment horizontal="center" vertical="center"/>
      <protection/>
    </xf>
    <xf numFmtId="0" fontId="5" fillId="0" borderId="51" xfId="26" applyBorder="1" applyAlignment="1">
      <alignment horizontal="center" vertical="center"/>
      <protection/>
    </xf>
    <xf numFmtId="0" fontId="30" fillId="0" borderId="0" xfId="26" applyFont="1">
      <alignment/>
      <protection/>
    </xf>
    <xf numFmtId="0" fontId="30" fillId="0" borderId="0" xfId="26" applyFont="1" applyFill="1">
      <alignment/>
      <protection/>
    </xf>
    <xf numFmtId="0" fontId="5" fillId="0" borderId="0" xfId="26" applyFont="1">
      <alignment/>
      <protection/>
    </xf>
    <xf numFmtId="0" fontId="7" fillId="0" borderId="2" xfId="26" applyFont="1" applyBorder="1" applyAlignment="1">
      <alignment horizontal="center" vertical="center" wrapText="1"/>
      <protection/>
    </xf>
    <xf numFmtId="0" fontId="7" fillId="0" borderId="20" xfId="26" applyFont="1" applyBorder="1" applyAlignment="1">
      <alignment horizontal="center" vertical="center" wrapText="1"/>
      <protection/>
    </xf>
    <xf numFmtId="3" fontId="5" fillId="0" borderId="48" xfId="26" applyNumberFormat="1" applyBorder="1" applyAlignment="1">
      <alignment horizontal="center" vertical="center"/>
      <protection/>
    </xf>
    <xf numFmtId="0" fontId="30" fillId="0" borderId="0" xfId="26" applyFont="1" applyFill="1" applyBorder="1" applyAlignment="1" quotePrefix="1">
      <alignment horizontal="left"/>
      <protection/>
    </xf>
    <xf numFmtId="0" fontId="28" fillId="0" borderId="0" xfId="0" applyFont="1" applyAlignment="1">
      <alignment/>
    </xf>
    <xf numFmtId="0" fontId="56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55" fillId="0" borderId="0" xfId="0" applyFont="1" applyAlignment="1">
      <alignment horizontal="left"/>
    </xf>
    <xf numFmtId="3" fontId="55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51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51" fillId="0" borderId="2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0" fontId="52" fillId="0" borderId="6" xfId="0" applyFont="1" applyFill="1" applyBorder="1" applyAlignment="1">
      <alignment vertical="center"/>
    </xf>
    <xf numFmtId="4" fontId="52" fillId="0" borderId="2" xfId="0" applyNumberFormat="1" applyFont="1" applyFill="1" applyBorder="1" applyAlignment="1">
      <alignment/>
    </xf>
    <xf numFmtId="165" fontId="52" fillId="0" borderId="2" xfId="0" applyNumberFormat="1" applyFont="1" applyFill="1" applyBorder="1" applyAlignment="1">
      <alignment/>
    </xf>
    <xf numFmtId="0" fontId="22" fillId="0" borderId="81" xfId="0" applyFont="1" applyBorder="1" applyAlignment="1">
      <alignment horizontal="center"/>
    </xf>
    <xf numFmtId="0" fontId="22" fillId="0" borderId="55" xfId="0" applyFont="1" applyFill="1" applyBorder="1" applyAlignment="1">
      <alignment/>
    </xf>
    <xf numFmtId="4" fontId="51" fillId="0" borderId="81" xfId="0" applyNumberFormat="1" applyFont="1" applyFill="1" applyBorder="1" applyAlignment="1">
      <alignment/>
    </xf>
    <xf numFmtId="4" fontId="51" fillId="0" borderId="80" xfId="0" applyNumberFormat="1" applyFont="1" applyFill="1" applyBorder="1" applyAlignment="1">
      <alignment/>
    </xf>
    <xf numFmtId="0" fontId="34" fillId="4" borderId="82" xfId="0" applyFont="1" applyFill="1" applyBorder="1" applyAlignment="1">
      <alignment horizontal="center"/>
    </xf>
    <xf numFmtId="0" fontId="22" fillId="0" borderId="15" xfId="0" applyFont="1" applyFill="1" applyBorder="1" applyAlignment="1">
      <alignment wrapText="1"/>
    </xf>
    <xf numFmtId="4" fontId="51" fillId="0" borderId="84" xfId="0" applyNumberFormat="1" applyFont="1" applyFill="1" applyBorder="1" applyAlignment="1">
      <alignment/>
    </xf>
    <xf numFmtId="4" fontId="52" fillId="0" borderId="85" xfId="0" applyNumberFormat="1" applyFont="1" applyFill="1" applyBorder="1" applyAlignment="1">
      <alignment/>
    </xf>
    <xf numFmtId="0" fontId="22" fillId="0" borderId="84" xfId="0" applyFont="1" applyBorder="1" applyAlignment="1">
      <alignment horizontal="center"/>
    </xf>
    <xf numFmtId="0" fontId="22" fillId="0" borderId="86" xfId="0" applyFont="1" applyBorder="1" applyAlignment="1">
      <alignment wrapText="1"/>
    </xf>
    <xf numFmtId="4" fontId="51" fillId="0" borderId="87" xfId="0" applyNumberFormat="1" applyFont="1" applyFill="1" applyBorder="1" applyAlignment="1">
      <alignment/>
    </xf>
    <xf numFmtId="4" fontId="52" fillId="0" borderId="88" xfId="0" applyNumberFormat="1" applyFont="1" applyFill="1" applyBorder="1" applyAlignment="1">
      <alignment/>
    </xf>
    <xf numFmtId="0" fontId="22" fillId="0" borderId="5" xfId="0" applyFont="1" applyBorder="1" applyAlignment="1">
      <alignment horizontal="center"/>
    </xf>
    <xf numFmtId="0" fontId="22" fillId="0" borderId="89" xfId="0" applyFont="1" applyFill="1" applyBorder="1" applyAlignment="1">
      <alignment wrapText="1"/>
    </xf>
    <xf numFmtId="4" fontId="51" fillId="0" borderId="90" xfId="0" applyNumberFormat="1" applyFont="1" applyFill="1" applyBorder="1" applyAlignment="1">
      <alignment/>
    </xf>
    <xf numFmtId="4" fontId="52" fillId="0" borderId="91" xfId="0" applyNumberFormat="1" applyFont="1" applyFill="1" applyBorder="1" applyAlignment="1">
      <alignment/>
    </xf>
    <xf numFmtId="0" fontId="22" fillId="0" borderId="92" xfId="0" applyFont="1" applyBorder="1" applyAlignment="1">
      <alignment horizontal="center"/>
    </xf>
    <xf numFmtId="0" fontId="22" fillId="0" borderId="93" xfId="0" applyFont="1" applyBorder="1" applyAlignment="1">
      <alignment wrapText="1"/>
    </xf>
    <xf numFmtId="4" fontId="51" fillId="0" borderId="94" xfId="0" applyNumberFormat="1" applyFont="1" applyFill="1" applyBorder="1" applyAlignment="1">
      <alignment/>
    </xf>
    <xf numFmtId="4" fontId="52" fillId="0" borderId="95" xfId="0" applyNumberFormat="1" applyFont="1" applyFill="1" applyBorder="1" applyAlignment="1">
      <alignment/>
    </xf>
    <xf numFmtId="0" fontId="22" fillId="0" borderId="0" xfId="0" applyFont="1" applyBorder="1" applyAlignment="1">
      <alignment wrapText="1"/>
    </xf>
    <xf numFmtId="4" fontId="51" fillId="0" borderId="5" xfId="0" applyNumberFormat="1" applyFont="1" applyFill="1" applyBorder="1" applyAlignment="1">
      <alignment/>
    </xf>
    <xf numFmtId="4" fontId="52" fillId="0" borderId="57" xfId="0" applyNumberFormat="1" applyFont="1" applyFill="1" applyBorder="1" applyAlignment="1">
      <alignment/>
    </xf>
    <xf numFmtId="0" fontId="34" fillId="0" borderId="8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22" fillId="0" borderId="89" xfId="0" applyFont="1" applyBorder="1" applyAlignment="1">
      <alignment wrapText="1"/>
    </xf>
    <xf numFmtId="0" fontId="34" fillId="4" borderId="82" xfId="0" applyFont="1" applyFill="1" applyBorder="1" applyAlignment="1">
      <alignment horizontal="center" vertical="justify"/>
    </xf>
    <xf numFmtId="4" fontId="52" fillId="0" borderId="39" xfId="0" applyNumberFormat="1" applyFont="1" applyFill="1" applyBorder="1" applyAlignment="1">
      <alignment/>
    </xf>
    <xf numFmtId="0" fontId="34" fillId="0" borderId="84" xfId="0" applyFont="1" applyBorder="1" applyAlignment="1">
      <alignment horizontal="center" vertical="justify"/>
    </xf>
    <xf numFmtId="0" fontId="34" fillId="0" borderId="5" xfId="0" applyFont="1" applyBorder="1" applyAlignment="1">
      <alignment horizontal="center" vertical="justify"/>
    </xf>
    <xf numFmtId="0" fontId="34" fillId="0" borderId="92" xfId="0" applyFont="1" applyBorder="1" applyAlignment="1">
      <alignment horizontal="center" vertical="justify"/>
    </xf>
    <xf numFmtId="0" fontId="22" fillId="4" borderId="92" xfId="0" applyFont="1" applyFill="1" applyBorder="1" applyAlignment="1">
      <alignment horizontal="center"/>
    </xf>
    <xf numFmtId="0" fontId="22" fillId="0" borderId="96" xfId="0" applyFont="1" applyBorder="1" applyAlignment="1">
      <alignment wrapText="1"/>
    </xf>
    <xf numFmtId="0" fontId="22" fillId="0" borderId="92" xfId="0" applyFont="1" applyFill="1" applyBorder="1" applyAlignment="1">
      <alignment horizontal="center"/>
    </xf>
    <xf numFmtId="0" fontId="22" fillId="0" borderId="87" xfId="0" applyFont="1" applyBorder="1" applyAlignment="1">
      <alignment wrapText="1"/>
    </xf>
    <xf numFmtId="0" fontId="22" fillId="0" borderId="94" xfId="0" applyFont="1" applyBorder="1" applyAlignment="1">
      <alignment wrapText="1"/>
    </xf>
    <xf numFmtId="4" fontId="51" fillId="0" borderId="96" xfId="0" applyNumberFormat="1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4" borderId="82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4" fontId="52" fillId="0" borderId="68" xfId="0" applyNumberFormat="1" applyFont="1" applyFill="1" applyBorder="1" applyAlignment="1">
      <alignment/>
    </xf>
    <xf numFmtId="0" fontId="22" fillId="4" borderId="82" xfId="0" applyFont="1" applyFill="1" applyBorder="1" applyAlignment="1">
      <alignment horizontal="center" vertical="justify"/>
    </xf>
    <xf numFmtId="0" fontId="22" fillId="0" borderId="84" xfId="0" applyFont="1" applyBorder="1" applyAlignment="1">
      <alignment horizontal="center" vertical="justify"/>
    </xf>
    <xf numFmtId="0" fontId="22" fillId="0" borderId="5" xfId="0" applyFont="1" applyBorder="1" applyAlignment="1">
      <alignment horizontal="center" vertical="justify"/>
    </xf>
    <xf numFmtId="0" fontId="22" fillId="0" borderId="92" xfId="0" applyFont="1" applyBorder="1" applyAlignment="1">
      <alignment horizontal="center" vertical="justify"/>
    </xf>
    <xf numFmtId="0" fontId="22" fillId="4" borderId="84" xfId="0" applyFont="1" applyFill="1" applyBorder="1" applyAlignment="1">
      <alignment horizontal="center" vertical="justify"/>
    </xf>
    <xf numFmtId="0" fontId="22" fillId="0" borderId="84" xfId="0" applyFont="1" applyFill="1" applyBorder="1" applyAlignment="1">
      <alignment horizontal="center" vertical="justify"/>
    </xf>
    <xf numFmtId="0" fontId="34" fillId="0" borderId="15" xfId="0" applyFont="1" applyFill="1" applyBorder="1" applyAlignment="1">
      <alignment wrapText="1"/>
    </xf>
    <xf numFmtId="4" fontId="52" fillId="0" borderId="84" xfId="0" applyNumberFormat="1" applyFont="1" applyFill="1" applyBorder="1" applyAlignment="1">
      <alignment/>
    </xf>
    <xf numFmtId="49" fontId="22" fillId="0" borderId="84" xfId="0" applyNumberFormat="1" applyFont="1" applyFill="1" applyBorder="1" applyAlignment="1">
      <alignment horizontal="center" vertical="justify"/>
    </xf>
    <xf numFmtId="49" fontId="22" fillId="0" borderId="97" xfId="0" applyNumberFormat="1" applyFont="1" applyFill="1" applyBorder="1" applyAlignment="1">
      <alignment horizontal="center" vertical="justify"/>
    </xf>
    <xf numFmtId="0" fontId="22" fillId="0" borderId="30" xfId="0" applyFont="1" applyFill="1" applyBorder="1" applyAlignment="1">
      <alignment vertical="center" wrapText="1"/>
    </xf>
    <xf numFmtId="4" fontId="51" fillId="0" borderId="97" xfId="0" applyNumberFormat="1" applyFont="1" applyFill="1" applyBorder="1" applyAlignment="1">
      <alignment/>
    </xf>
    <xf numFmtId="4" fontId="52" fillId="0" borderId="97" xfId="0" applyNumberFormat="1" applyFont="1" applyFill="1" applyBorder="1" applyAlignment="1">
      <alignment/>
    </xf>
    <xf numFmtId="0" fontId="22" fillId="0" borderId="58" xfId="0" applyFont="1" applyBorder="1" applyAlignment="1">
      <alignment horizontal="center"/>
    </xf>
    <xf numFmtId="0" fontId="34" fillId="0" borderId="58" xfId="0" applyFont="1" applyFill="1" applyBorder="1" applyAlignment="1">
      <alignment vertical="center" wrapText="1"/>
    </xf>
    <xf numFmtId="4" fontId="52" fillId="0" borderId="58" xfId="0" applyNumberFormat="1" applyFont="1" applyFill="1" applyBorder="1" applyAlignment="1">
      <alignment/>
    </xf>
    <xf numFmtId="0" fontId="22" fillId="0" borderId="5" xfId="0" applyFont="1" applyFill="1" applyBorder="1" applyAlignment="1">
      <alignment/>
    </xf>
    <xf numFmtId="4" fontId="51" fillId="0" borderId="5" xfId="0" applyNumberFormat="1" applyFont="1" applyFill="1" applyBorder="1" applyAlignment="1">
      <alignment/>
    </xf>
    <xf numFmtId="0" fontId="22" fillId="0" borderId="97" xfId="0" applyFont="1" applyBorder="1" applyAlignment="1">
      <alignment horizontal="center"/>
    </xf>
    <xf numFmtId="0" fontId="22" fillId="0" borderId="97" xfId="0" applyFont="1" applyFill="1" applyBorder="1" applyAlignment="1">
      <alignment vertical="center" wrapText="1"/>
    </xf>
    <xf numFmtId="49" fontId="51" fillId="0" borderId="0" xfId="0" applyNumberFormat="1" applyFont="1" applyAlignment="1">
      <alignment/>
    </xf>
    <xf numFmtId="3" fontId="5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58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5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0" fontId="62" fillId="0" borderId="5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4" fontId="0" fillId="0" borderId="58" xfId="0" applyNumberFormat="1" applyFont="1" applyBorder="1" applyAlignment="1">
      <alignment/>
    </xf>
    <xf numFmtId="0" fontId="0" fillId="0" borderId="2" xfId="0" applyFont="1" applyFill="1" applyBorder="1" applyAlignment="1">
      <alignment vertical="center" wrapText="1"/>
    </xf>
    <xf numFmtId="3" fontId="38" fillId="0" borderId="57" xfId="0" applyNumberFormat="1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8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63" fillId="0" borderId="0" xfId="0" applyFont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Font="1" applyAlignment="1">
      <alignment/>
    </xf>
    <xf numFmtId="3" fontId="38" fillId="0" borderId="57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12" fillId="0" borderId="53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52" xfId="0" applyNumberFormat="1" applyFont="1" applyBorder="1" applyAlignment="1">
      <alignment vertical="center"/>
    </xf>
    <xf numFmtId="4" fontId="12" fillId="0" borderId="50" xfId="0" applyNumberFormat="1" applyFont="1" applyBorder="1" applyAlignment="1">
      <alignment vertical="center"/>
    </xf>
    <xf numFmtId="4" fontId="12" fillId="0" borderId="59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8" xfId="0" applyFont="1" applyBorder="1" applyAlignment="1">
      <alignment/>
    </xf>
    <xf numFmtId="3" fontId="0" fillId="0" borderId="28" xfId="0" applyNumberFormat="1" applyFont="1" applyBorder="1" applyAlignment="1">
      <alignment horizontal="center"/>
    </xf>
    <xf numFmtId="0" fontId="0" fillId="0" borderId="25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center" wrapText="1"/>
    </xf>
    <xf numFmtId="4" fontId="0" fillId="0" borderId="28" xfId="0" applyNumberFormat="1" applyFont="1" applyBorder="1" applyAlignment="1">
      <alignment vertical="center" wrapText="1"/>
    </xf>
    <xf numFmtId="4" fontId="0" fillId="0" borderId="2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12" fillId="0" borderId="53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" fontId="12" fillId="0" borderId="52" xfId="0" applyNumberFormat="1" applyFont="1" applyBorder="1" applyAlignment="1">
      <alignment vertical="center" wrapText="1"/>
    </xf>
    <xf numFmtId="4" fontId="12" fillId="0" borderId="50" xfId="0" applyNumberFormat="1" applyFont="1" applyBorder="1" applyAlignment="1">
      <alignment vertical="center" wrapText="1"/>
    </xf>
    <xf numFmtId="4" fontId="12" fillId="0" borderId="59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3" fontId="38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65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vertical="top"/>
    </xf>
    <xf numFmtId="0" fontId="38" fillId="0" borderId="5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0" fontId="38" fillId="0" borderId="5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/>
    </xf>
    <xf numFmtId="4" fontId="0" fillId="0" borderId="58" xfId="0" applyNumberFormat="1" applyFont="1" applyFill="1" applyBorder="1" applyAlignment="1">
      <alignment wrapText="1"/>
    </xf>
    <xf numFmtId="4" fontId="0" fillId="0" borderId="58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4" fontId="0" fillId="0" borderId="5" xfId="0" applyNumberFormat="1" applyFont="1" applyFill="1" applyBorder="1" applyAlignment="1">
      <alignment wrapText="1"/>
    </xf>
    <xf numFmtId="0" fontId="0" fillId="0" borderId="58" xfId="0" applyFont="1" applyFill="1" applyBorder="1" applyAlignment="1">
      <alignment wrapText="1"/>
    </xf>
    <xf numFmtId="0" fontId="0" fillId="0" borderId="58" xfId="0" applyFont="1" applyBorder="1" applyAlignment="1">
      <alignment vertical="center" wrapText="1"/>
    </xf>
    <xf numFmtId="4" fontId="0" fillId="0" borderId="5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3" fontId="11" fillId="0" borderId="6" xfId="0" applyNumberFormat="1" applyFont="1" applyBorder="1" applyAlignment="1">
      <alignment vertical="center" wrapText="1"/>
    </xf>
    <xf numFmtId="0" fontId="33" fillId="0" borderId="0" xfId="25" applyFont="1">
      <alignment/>
      <protection/>
    </xf>
    <xf numFmtId="0" fontId="68" fillId="0" borderId="0" xfId="25" applyFont="1">
      <alignment/>
      <protection/>
    </xf>
    <xf numFmtId="0" fontId="11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4" fontId="11" fillId="0" borderId="57" xfId="0" applyNumberFormat="1" applyFont="1" applyFill="1" applyBorder="1" applyAlignment="1">
      <alignment vertical="center"/>
    </xf>
    <xf numFmtId="4" fontId="13" fillId="0" borderId="57" xfId="0" applyNumberFormat="1" applyFont="1" applyFill="1" applyBorder="1" applyAlignment="1">
      <alignment vertical="center"/>
    </xf>
    <xf numFmtId="0" fontId="45" fillId="0" borderId="0" xfId="25" applyFont="1">
      <alignment/>
      <protection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2" fontId="51" fillId="0" borderId="3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" fontId="51" fillId="0" borderId="33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3" fillId="0" borderId="0" xfId="26" applyFont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49" fontId="18" fillId="0" borderId="56" xfId="0" applyNumberFormat="1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4" fillId="0" borderId="33" xfId="15" applyNumberFormat="1" applyFont="1" applyFill="1" applyBorder="1" applyAlignment="1">
      <alignment horizontal="center" vertical="center"/>
    </xf>
    <xf numFmtId="4" fontId="4" fillId="0" borderId="28" xfId="15" applyNumberFormat="1" applyFont="1" applyFill="1" applyBorder="1" applyAlignment="1">
      <alignment horizontal="center" vertical="center"/>
    </xf>
    <xf numFmtId="4" fontId="4" fillId="0" borderId="13" xfId="15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" fontId="4" fillId="0" borderId="33" xfId="15" applyNumberFormat="1" applyFont="1" applyFill="1" applyBorder="1" applyAlignment="1">
      <alignment horizontal="right" vertical="center"/>
    </xf>
    <xf numFmtId="4" fontId="4" fillId="0" borderId="28" xfId="15" applyNumberFormat="1" applyFont="1" applyFill="1" applyBorder="1" applyAlignment="1">
      <alignment horizontal="right" vertical="center"/>
    </xf>
    <xf numFmtId="4" fontId="4" fillId="0" borderId="13" xfId="15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9" fillId="0" borderId="48" xfId="0" applyFont="1" applyBorder="1" applyAlignment="1">
      <alignment horizontal="justify" vertical="center" wrapText="1"/>
    </xf>
    <xf numFmtId="0" fontId="50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51" fillId="0" borderId="4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right"/>
    </xf>
    <xf numFmtId="4" fontId="51" fillId="0" borderId="7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24" xfId="23" applyFill="1" applyBorder="1" applyAlignment="1">
      <alignment/>
      <protection/>
    </xf>
    <xf numFmtId="0" fontId="5" fillId="0" borderId="0" xfId="23" applyFill="1" applyAlignment="1">
      <alignment/>
      <protection/>
    </xf>
    <xf numFmtId="0" fontId="0" fillId="0" borderId="0" xfId="22" applyFont="1" applyFill="1" applyAlignment="1">
      <alignment/>
      <protection/>
    </xf>
    <xf numFmtId="0" fontId="12" fillId="0" borderId="55" xfId="22" applyFont="1" applyFill="1" applyBorder="1" applyAlignment="1">
      <alignment horizontal="left" vertical="center"/>
      <protection/>
    </xf>
  </cellXfs>
  <cellStyles count="15">
    <cellStyle name="Normal" xfId="0"/>
    <cellStyle name="Comma" xfId="15"/>
    <cellStyle name="Comma [0]" xfId="16"/>
    <cellStyle name="Hyperlink" xfId="17"/>
    <cellStyle name="Hypertextový odkaz_inv. k 31.10.2009" xfId="18"/>
    <cellStyle name="Currency" xfId="19"/>
    <cellStyle name="Currency [0]" xfId="20"/>
    <cellStyle name="normální_6119 OKR na rok 2009 s komentářem po škrtech 111108" xfId="21"/>
    <cellStyle name="normální_inv k 31.10.2007 " xfId="22"/>
    <cellStyle name="normální_inv. k 31.10.2009" xfId="23"/>
    <cellStyle name="normální_Investice 2008" xfId="24"/>
    <cellStyle name="normální_Soupis příloh 2008" xfId="25"/>
    <cellStyle name="normální_SPOD - tabulka 5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2" name="Line 2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4" name="Line 4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" name="Line 5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" name="Line 6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7" name="Line 7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" name="Line 8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9" name="Line 9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10" name="Line 10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11" name="Line 11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12" name="Line 12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13" name="Line 13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4" name="Line 14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5" name="Line 15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6" name="Line 16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7" name="Line 17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8" name="Line 18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9" name="Line 19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0" name="Line 20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1" name="Line 21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2" name="Line 22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3" name="Line 23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4" name="Line 24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5" name="Line 25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26" name="Line 26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27" name="Line 27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28" name="Line 28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29" name="Line 29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0" name="Line 30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1" name="Line 31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2" name="Line 32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3" name="Line 33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4" name="Line 34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5" name="Line 35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6" name="Line 36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7" name="Line 37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8" name="Line 38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39" name="Line 39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0" name="Line 40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1" name="Line 41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2" name="Line 42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3" name="Line 43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4" name="Line 44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5" name="Line 45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6" name="Line 46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7" name="Line 47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8" name="Line 48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49" name="Line 49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50" name="Line 50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51" name="Line 51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52" name="Line 52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3" name="Line 53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4" name="Line 54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5" name="Line 55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6" name="Line 56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7" name="Line 57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8" name="Line 58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59" name="Line 59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0" name="Line 60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1" name="Line 61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2" name="Line 62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3" name="Line 63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4" name="Line 64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5" name="Line 65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66" name="Line 66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67" name="Line 67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68" name="Line 68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69" name="Line 69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0" name="Line 70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1" name="Line 71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2" name="Line 72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3" name="Line 73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4" name="Line 74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5" name="Line 75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6" name="Line 76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7" name="Line 77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78" name="Line 78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79" name="Line 79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0" name="Line 80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1" name="Line 81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2" name="Line 82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3" name="Line 83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4" name="Line 84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5" name="Line 85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6" name="Line 86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7" name="Line 87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8" name="Line 88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89" name="Line 89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90" name="Line 90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91" name="Line 91"/>
        <xdr:cNvSpPr>
          <a:spLocks/>
        </xdr:cNvSpPr>
      </xdr:nvSpPr>
      <xdr:spPr>
        <a:xfrm>
          <a:off x="11049000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2" name="Line 92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3" name="Line 93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4" name="Line 94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5" name="Line 95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6" name="Line 96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7" name="Line 97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8" name="Line 98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99" name="Line 99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00" name="Line 100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01" name="Line 101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02" name="Line 102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03" name="Line 103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97</xdr:row>
      <xdr:rowOff>0</xdr:rowOff>
    </xdr:from>
    <xdr:to>
      <xdr:col>5</xdr:col>
      <xdr:colOff>390525</xdr:colOff>
      <xdr:row>97</xdr:row>
      <xdr:rowOff>0</xdr:rowOff>
    </xdr:to>
    <xdr:sp>
      <xdr:nvSpPr>
        <xdr:cNvPr id="104" name="Line 104"/>
        <xdr:cNvSpPr>
          <a:spLocks/>
        </xdr:cNvSpPr>
      </xdr:nvSpPr>
      <xdr:spPr>
        <a:xfrm>
          <a:off x="7267575" y="2019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05" name="Line 105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09" name="Line 109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0" name="Line 110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2" name="Line 112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3" name="Line 113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4" name="Line 114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5" name="Line 115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6" name="Line 116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7" name="Line 117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8" name="Line 118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19" name="Line 119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0" name="Line 120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1" name="Line 121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2" name="Line 122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3" name="Line 123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4" name="Line 124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5" name="Line 125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6" name="Line 126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7" name="Line 127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8" name="Line 128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29" name="Line 129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0" name="Line 130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1" name="Line 131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2" name="Line 132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3" name="Line 133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4" name="Line 134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5" name="Line 135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7" name="Line 137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8" name="Line 138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39" name="Line 139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0" name="Line 140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1" name="Line 141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2" name="Line 142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3" name="Line 143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4" name="Line 144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5" name="Line 145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6" name="Line 146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7" name="Line 147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8" name="Line 148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49" name="Line 149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0" name="Line 150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1" name="Line 151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2" name="Line 152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3" name="Line 153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4" name="Line 154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5" name="Line 155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56" name="Line 156"/>
        <xdr:cNvSpPr>
          <a:spLocks/>
        </xdr:cNvSpPr>
      </xdr:nvSpPr>
      <xdr:spPr>
        <a:xfrm>
          <a:off x="8001000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4" name="Line 164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5" name="Line 165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7" name="Line 167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8" name="Line 168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69" name="Line 169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2" name="Line 172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3" name="Line 173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4" name="Line 174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5" name="Line 175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7" name="Line 177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79" name="Line 179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80" name="Line 180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81" name="Line 181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82" name="Line 182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3" name="Line 183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4" name="Line 184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5" name="Line 185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89" name="Line 189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90" name="Line 190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92" name="Line 192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93" name="Line 193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195" name="Line 195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96" name="Line 196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97" name="Line 197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98" name="Line 198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199" name="Line 199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0" name="Line 200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1" name="Line 201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2" name="Line 202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3" name="Line 203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4" name="Line 204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08" name="Line 208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09" name="Line 209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0" name="Line 210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1" name="Line 211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2" name="Line 212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3" name="Line 213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4" name="Line 214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5" name="Line 215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6" name="Line 216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8" name="Line 218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19" name="Line 219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21" name="Line 221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2" name="Line 222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4" name="Line 224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29" name="Line 229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35" name="Line 235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36" name="Line 236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37" name="Line 237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38" name="Line 238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39" name="Line 239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1" name="Line 241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2" name="Line 242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3" name="Line 243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4" name="Line 244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5" name="Line 245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6" name="Line 246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92</xdr:row>
      <xdr:rowOff>0</xdr:rowOff>
    </xdr:from>
    <xdr:to>
      <xdr:col>14</xdr:col>
      <xdr:colOff>390525</xdr:colOff>
      <xdr:row>92</xdr:row>
      <xdr:rowOff>0</xdr:rowOff>
    </xdr:to>
    <xdr:sp>
      <xdr:nvSpPr>
        <xdr:cNvPr id="247" name="Line 247"/>
        <xdr:cNvSpPr>
          <a:spLocks/>
        </xdr:cNvSpPr>
      </xdr:nvSpPr>
      <xdr:spPr>
        <a:xfrm>
          <a:off x="11049000" y="19183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48" name="Line 248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49" name="Line 249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0" name="Line 250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1" name="Line 251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2" name="Line 252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3" name="Line 253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4" name="Line 254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5" name="Line 255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6" name="Line 256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7" name="Line 257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8" name="Line 258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59" name="Line 259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30</xdr:row>
      <xdr:rowOff>0</xdr:rowOff>
    </xdr:from>
    <xdr:to>
      <xdr:col>5</xdr:col>
      <xdr:colOff>390525</xdr:colOff>
      <xdr:row>30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67575" y="6686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4" name="Line 264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8" name="Line 268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" name="Line 272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6" name="Line 276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8" name="Line 278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9" name="Line 279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0" name="Line 280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1" name="Line 281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2" name="Line 282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6" name="Line 286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0" name="Line 290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4" name="Line 294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8" name="Line 298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0" name="Line 300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1" name="Line 301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2" name="Line 302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3" name="Line 303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4" name="Line 304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5" name="Line 305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6" name="Line 306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7" name="Line 307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0" name="Line 310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1" name="Line 311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001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3" name="Line 313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4" name="Line 314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5" name="Line 315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6" name="Line 316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7" name="Line 317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8" name="Line 318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19" name="Line 319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20" name="Line 320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21" name="Line 321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22" name="Line 322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23" name="Line 323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24" name="Line 324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25" name="Line 325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26" name="Line 326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27" name="Line 327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28" name="Line 328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29" name="Line 329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0" name="Line 330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1" name="Line 331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2" name="Line 332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3" name="Line 333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4" name="Line 334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5" name="Line 335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6" name="Line 336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7" name="Line 337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38" name="Line 338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39" name="Line 339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0" name="Line 340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1" name="Line 341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2" name="Line 342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3" name="Line 343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4" name="Line 344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5" name="Line 345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6" name="Line 346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7" name="Line 347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8" name="Line 348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49" name="Line 349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50" name="Line 350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51" name="Line 351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2" name="Line 352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3" name="Line 353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4" name="Line 354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5" name="Line 355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6" name="Line 356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7" name="Line 357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8" name="Line 358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59" name="Line 359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60" name="Line 360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61" name="Line 361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62" name="Line 362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63" name="Line 363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64" name="Line 364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65" name="Line 365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66" name="Line 366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67" name="Line 367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68" name="Line 368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69" name="Line 369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0" name="Line 370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1" name="Line 371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2" name="Line 372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3" name="Line 373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4" name="Line 374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5" name="Line 375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6" name="Line 376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77" name="Line 377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78" name="Line 378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79" name="Line 379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0" name="Line 380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1" name="Line 381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2" name="Line 382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3" name="Line 383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4" name="Line 384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5" name="Line 385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6" name="Line 386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7" name="Line 387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8" name="Line 388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89" name="Line 389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390" name="Line 390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1" name="Line 391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2" name="Line 392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3" name="Line 393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4" name="Line 394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5" name="Line 395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6" name="Line 396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7" name="Line 397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8" name="Line 398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399" name="Line 399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400" name="Line 400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401" name="Line 401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402" name="Line 402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86</xdr:row>
      <xdr:rowOff>0</xdr:rowOff>
    </xdr:from>
    <xdr:to>
      <xdr:col>14</xdr:col>
      <xdr:colOff>390525</xdr:colOff>
      <xdr:row>86</xdr:row>
      <xdr:rowOff>0</xdr:rowOff>
    </xdr:to>
    <xdr:sp>
      <xdr:nvSpPr>
        <xdr:cNvPr id="403" name="Line 403"/>
        <xdr:cNvSpPr>
          <a:spLocks/>
        </xdr:cNvSpPr>
      </xdr:nvSpPr>
      <xdr:spPr>
        <a:xfrm>
          <a:off x="11049000" y="1798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04" name="Line 404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05" name="Line 405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06" name="Line 406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07" name="Line 407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08" name="Line 408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09" name="Line 409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0" name="Line 410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1" name="Line 411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2" name="Line 412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3" name="Line 413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4" name="Line 414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5" name="Line 415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53</xdr:row>
      <xdr:rowOff>0</xdr:rowOff>
    </xdr:from>
    <xdr:to>
      <xdr:col>5</xdr:col>
      <xdr:colOff>390525</xdr:colOff>
      <xdr:row>53</xdr:row>
      <xdr:rowOff>0</xdr:rowOff>
    </xdr:to>
    <xdr:sp>
      <xdr:nvSpPr>
        <xdr:cNvPr id="416" name="Line 416"/>
        <xdr:cNvSpPr>
          <a:spLocks/>
        </xdr:cNvSpPr>
      </xdr:nvSpPr>
      <xdr:spPr>
        <a:xfrm>
          <a:off x="7267575" y="1138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17" name="Line 417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18" name="Line 418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19" name="Line 419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0" name="Line 420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2" name="Line 422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3" name="Line 423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4" name="Line 424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5" name="Line 425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6" name="Line 426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7" name="Line 427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8" name="Line 428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29" name="Line 429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0" name="Line 430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1" name="Line 431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2" name="Line 432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3" name="Line 433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4" name="Line 434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5" name="Line 435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6" name="Line 436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7" name="Line 437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8" name="Line 438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39" name="Line 439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0" name="Line 440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1" name="Line 441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2" name="Line 442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3" name="Line 443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4" name="Line 444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5" name="Line 445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6" name="Line 446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7" name="Line 447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8" name="Line 448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49" name="Line 449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0" name="Line 450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1" name="Line 451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2" name="Line 452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3" name="Line 453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4" name="Line 454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5" name="Line 455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6" name="Line 456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7" name="Line 457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8" name="Line 458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59" name="Line 459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0" name="Line 460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1" name="Line 461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2" name="Line 462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3" name="Line 463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4" name="Line 464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5" name="Line 465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6" name="Line 466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7" name="Line 467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68" name="Line 468"/>
        <xdr:cNvSpPr>
          <a:spLocks/>
        </xdr:cNvSpPr>
      </xdr:nvSpPr>
      <xdr:spPr>
        <a:xfrm>
          <a:off x="80010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1" name="Line 1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2" name="Line 2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" name="Line 3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4" name="Line 4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" name="Line 5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" name="Line 6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7" name="Line 7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" name="Line 8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9" name="Line 9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10" name="Line 10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11" name="Line 11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12" name="Line 12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13" name="Line 13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4" name="Line 14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5" name="Line 15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6" name="Line 16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7" name="Line 17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8" name="Line 18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9" name="Line 19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0" name="Line 20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1" name="Line 21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2" name="Line 22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3" name="Line 23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4" name="Line 24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5" name="Line 25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26" name="Line 26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27" name="Line 27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28" name="Line 28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29" name="Line 29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0" name="Line 30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1" name="Line 31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2" name="Line 32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3" name="Line 33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4" name="Line 34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5" name="Line 35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6" name="Line 36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7" name="Line 37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8" name="Line 38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39" name="Line 39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0" name="Line 40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1" name="Line 41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2" name="Line 42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3" name="Line 43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4" name="Line 44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5" name="Line 45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6" name="Line 46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7" name="Line 47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8" name="Line 48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49" name="Line 49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50" name="Line 50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51" name="Line 51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52" name="Line 52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3" name="Line 53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4" name="Line 54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5" name="Line 55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6" name="Line 56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7" name="Line 57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8" name="Line 58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59" name="Line 59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0" name="Line 60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1" name="Line 61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2" name="Line 62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3" name="Line 63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4" name="Line 64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65" name="Line 65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66" name="Line 66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67" name="Line 67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68" name="Line 68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69" name="Line 69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0" name="Line 70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1" name="Line 71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2" name="Line 72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3" name="Line 73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4" name="Line 74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5" name="Line 75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6" name="Line 76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7" name="Line 77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78" name="Line 78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79" name="Line 79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0" name="Line 80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1" name="Line 81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2" name="Line 82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3" name="Line 83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4" name="Line 84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5" name="Line 85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6" name="Line 86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7" name="Line 87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8" name="Line 88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89" name="Line 89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90" name="Line 90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130</xdr:row>
      <xdr:rowOff>0</xdr:rowOff>
    </xdr:from>
    <xdr:to>
      <xdr:col>14</xdr:col>
      <xdr:colOff>390525</xdr:colOff>
      <xdr:row>130</xdr:row>
      <xdr:rowOff>0</xdr:rowOff>
    </xdr:to>
    <xdr:sp>
      <xdr:nvSpPr>
        <xdr:cNvPr id="91" name="Line 91"/>
        <xdr:cNvSpPr>
          <a:spLocks/>
        </xdr:cNvSpPr>
      </xdr:nvSpPr>
      <xdr:spPr>
        <a:xfrm>
          <a:off x="11134725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2" name="Line 92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3" name="Line 93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4" name="Line 94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5" name="Line 95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6" name="Line 96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7" name="Line 97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8" name="Line 98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99" name="Line 99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130</xdr:row>
      <xdr:rowOff>0</xdr:rowOff>
    </xdr:from>
    <xdr:to>
      <xdr:col>5</xdr:col>
      <xdr:colOff>390525</xdr:colOff>
      <xdr:row>130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915150" y="2665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1" name="Line 151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2" name="Line 152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3" name="Line 153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5" name="Line 155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896225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1</xdr:row>
      <xdr:rowOff>0</xdr:rowOff>
    </xdr:from>
    <xdr:to>
      <xdr:col>14</xdr:col>
      <xdr:colOff>390525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113472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691515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78962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</xdr:row>
      <xdr:rowOff>0</xdr:rowOff>
    </xdr:from>
    <xdr:to>
      <xdr:col>15</xdr:col>
      <xdr:colOff>390525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7823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66198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43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1</xdr:row>
      <xdr:rowOff>0</xdr:rowOff>
    </xdr:from>
    <xdr:to>
      <xdr:col>13</xdr:col>
      <xdr:colOff>390525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3155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63531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7334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11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Dokumenty\Jarka\&#218;spory%20&#269;erp&#225;n&#237;%20k%2010.11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Dokumenty\Jarka\Rok%202009\&#269;erp.invest.2009\inv.%20k%2031.10.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Dokumenty\Jarka\Rok%202009\&#269;erp.invest.2009\inv.%20k%2030.4.2009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Dokumenty\Jarka\2008\upr.%20inv.2008\investice%20k%204.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pe\Dokumenty\2008\SR%202008\schv&#225;len&#253;%20rozpo&#269;et%202008\schv&#225;len&#253;%20rozpo&#269;et%202008-kr&#225;tk&#225;-Intern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Local%20Settings\Temporary%20Internet%20Files\OLKB9E\10.&#269;erp&#225;n&#237;%201-11%2009%20-%20Hel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ář P+V+F "/>
      <sheetName val="Plnění příjmů"/>
      <sheetName val=" Sumář OVS"/>
      <sheetName val=" Sumář PO"/>
      <sheetName val=" FRB klasika"/>
      <sheetName val=" FRB povodeň"/>
      <sheetName val="soc. fond"/>
      <sheetName val="A stav. inv."/>
      <sheetName val="B - PD "/>
      <sheetName val="C - OEP  "/>
      <sheetName val="D - OKR "/>
      <sheetName val=" E -nest.inv."/>
      <sheetName val="F -příspěvky"/>
      <sheetName val="G - SNO"/>
      <sheetName val="H - MOVO"/>
      <sheetName val="Rekapitulace"/>
      <sheetName val="01-kanc.prim."/>
      <sheetName val="02-investic "/>
      <sheetName val="03-OKR"/>
      <sheetName val="04-živnost."/>
      <sheetName val="05-ekonom."/>
      <sheetName val="06-VAK"/>
      <sheetName val="7-doprava"/>
      <sheetName val="08-AŘMV"/>
      <sheetName val="10-stavební"/>
      <sheetName val="11-vněj.vz.a info."/>
      <sheetName val="13-informatika"/>
      <sheetName val="14-školství"/>
      <sheetName val="15 -soc.pomoci"/>
      <sheetName val="19-správa"/>
      <sheetName val="20 -MP"/>
      <sheetName val="30 - památ. péče"/>
      <sheetName val="35-soc. sl. a zdravot."/>
      <sheetName val="40-život.pr."/>
      <sheetName val="41-majetkopr."/>
      <sheetName val="42 -ochrana"/>
      <sheetName val="44-evrop.proj."/>
    </sheetNames>
    <sheetDataSet>
      <sheetData sheetId="7">
        <row r="102">
          <cell r="M102">
            <v>29832000</v>
          </cell>
          <cell r="N102">
            <v>499365131.4</v>
          </cell>
        </row>
      </sheetData>
      <sheetData sheetId="8">
        <row r="136">
          <cell r="M136">
            <v>6046000</v>
          </cell>
          <cell r="N136">
            <v>54214500</v>
          </cell>
        </row>
      </sheetData>
      <sheetData sheetId="9">
        <row r="25">
          <cell r="M25">
            <v>2500000</v>
          </cell>
          <cell r="N25">
            <v>2980000</v>
          </cell>
        </row>
      </sheetData>
      <sheetData sheetId="10">
        <row r="19">
          <cell r="M19">
            <v>293000</v>
          </cell>
          <cell r="N19">
            <v>7732895</v>
          </cell>
        </row>
      </sheetData>
      <sheetData sheetId="11">
        <row r="29">
          <cell r="N29">
            <v>1950000</v>
          </cell>
          <cell r="O29">
            <v>29063264</v>
          </cell>
        </row>
      </sheetData>
      <sheetData sheetId="13">
        <row r="7">
          <cell r="L7">
            <v>10000000</v>
          </cell>
          <cell r="M7">
            <v>23249000</v>
          </cell>
        </row>
      </sheetData>
      <sheetData sheetId="14">
        <row r="9">
          <cell r="L9">
            <v>12000000</v>
          </cell>
          <cell r="M9">
            <v>23200000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 stav. inv."/>
      <sheetName val="B - PD "/>
      <sheetName val="C - OEP  "/>
      <sheetName val="D - OKR "/>
      <sheetName val=" E -nest.inv."/>
      <sheetName val="F -příspěvky"/>
      <sheetName val="G - SNO"/>
      <sheetName val="H - MOVO"/>
      <sheetName val="Rekapitulace"/>
    </sheetNames>
    <sheetDataSet>
      <sheetData sheetId="0">
        <row r="98">
          <cell r="F98">
            <v>362277</v>
          </cell>
          <cell r="G98">
            <v>529317131.4</v>
          </cell>
          <cell r="H98">
            <v>-120000</v>
          </cell>
          <cell r="I98">
            <v>529197131.4</v>
          </cell>
        </row>
      </sheetData>
      <sheetData sheetId="1">
        <row r="133">
          <cell r="F133">
            <v>51878</v>
          </cell>
          <cell r="G133">
            <v>59880500</v>
          </cell>
          <cell r="H133">
            <v>380000</v>
          </cell>
          <cell r="I133">
            <v>60260500</v>
          </cell>
        </row>
      </sheetData>
      <sheetData sheetId="2">
        <row r="25">
          <cell r="G25">
            <v>5480000</v>
          </cell>
          <cell r="H25">
            <v>0</v>
          </cell>
          <cell r="I25">
            <v>5480000</v>
          </cell>
        </row>
      </sheetData>
      <sheetData sheetId="3">
        <row r="19">
          <cell r="G19">
            <v>8225895</v>
          </cell>
          <cell r="H19">
            <v>-200000</v>
          </cell>
          <cell r="I19">
            <v>8025895</v>
          </cell>
        </row>
      </sheetData>
      <sheetData sheetId="4">
        <row r="29">
          <cell r="G29">
            <v>30984161</v>
          </cell>
          <cell r="H29">
            <v>29103</v>
          </cell>
          <cell r="I29">
            <v>31013264</v>
          </cell>
        </row>
      </sheetData>
      <sheetData sheetId="5">
        <row r="26">
          <cell r="G26">
            <v>8247845</v>
          </cell>
          <cell r="H26">
            <v>166268</v>
          </cell>
          <cell r="I26">
            <v>8414113</v>
          </cell>
          <cell r="L26">
            <v>0</v>
          </cell>
          <cell r="M26">
            <v>8414113</v>
          </cell>
        </row>
      </sheetData>
      <sheetData sheetId="6">
        <row r="7">
          <cell r="F7">
            <v>1767</v>
          </cell>
          <cell r="G7">
            <v>34167000</v>
          </cell>
          <cell r="H7">
            <v>-918000</v>
          </cell>
          <cell r="I7">
            <v>33249000</v>
          </cell>
          <cell r="J7">
            <v>0</v>
          </cell>
        </row>
      </sheetData>
      <sheetData sheetId="7">
        <row r="9">
          <cell r="F9">
            <v>16000</v>
          </cell>
          <cell r="G9">
            <v>36200000</v>
          </cell>
          <cell r="H9">
            <v>0</v>
          </cell>
          <cell r="I9">
            <v>36200000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ář P+V+F"/>
      <sheetName val="Plnění příjmů"/>
      <sheetName val=" Sumář OVS"/>
      <sheetName val=" Sumář PO"/>
      <sheetName val=" FRB klasika"/>
      <sheetName val=" FRB povodeň"/>
      <sheetName val="soc. fond"/>
      <sheetName val="A stav. inv."/>
      <sheetName val="B - PD "/>
      <sheetName val="C - OEP  "/>
      <sheetName val="D - OKR "/>
      <sheetName val=" E -nest.inv."/>
      <sheetName val="F -příspěvky"/>
      <sheetName val="Rekapitulace"/>
      <sheetName val="01-kanc.prim."/>
      <sheetName val="02 -investic"/>
      <sheetName val="03-OKR"/>
      <sheetName val="04-živnost."/>
      <sheetName val="05-ekonom. "/>
      <sheetName val="06-VAK"/>
      <sheetName val="7-doprava"/>
      <sheetName val="08-AŘMV"/>
      <sheetName val="10 -stavební"/>
      <sheetName val="11 -vněj.vz.a info."/>
      <sheetName val="13-informatika"/>
      <sheetName val="14-školství"/>
      <sheetName val="15 -soc.pomoci"/>
      <sheetName val="19-správa"/>
      <sheetName val="20 -MP"/>
      <sheetName val="35-soc. sl. a zdravot."/>
      <sheetName val="40-život.pr."/>
      <sheetName val="41-majetkopr."/>
      <sheetName val="42 -ochrana"/>
      <sheetName val="44-evrop.proj."/>
    </sheetNames>
    <sheetDataSet>
      <sheetData sheetId="7">
        <row r="29">
          <cell r="H29">
            <v>-4227000</v>
          </cell>
          <cell r="I29">
            <v>366013362.4</v>
          </cell>
        </row>
      </sheetData>
      <sheetData sheetId="9">
        <row r="24">
          <cell r="F24">
            <v>3000</v>
          </cell>
        </row>
      </sheetData>
      <sheetData sheetId="10">
        <row r="13">
          <cell r="F13">
            <v>5500</v>
          </cell>
        </row>
      </sheetData>
      <sheetData sheetId="11">
        <row r="17">
          <cell r="F17">
            <v>4900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- stavební investice"/>
      <sheetName val="B-proj.dokumentace"/>
      <sheetName val="D-OEP projekty"/>
      <sheetName val="C-nestavební inv."/>
      <sheetName val="E-OKR projekty"/>
      <sheetName val="F-příspěvky"/>
      <sheetName val="G-SNO"/>
      <sheetName val="úvěr"/>
      <sheetName val="H-MOVO"/>
      <sheetName val="Rekapitulace"/>
    </sheetNames>
    <sheetDataSet>
      <sheetData sheetId="6">
        <row r="9">
          <cell r="H9">
            <v>0</v>
          </cell>
          <cell r="I9">
            <v>9058000</v>
          </cell>
        </row>
      </sheetData>
      <sheetData sheetId="8">
        <row r="20">
          <cell r="H20">
            <v>0</v>
          </cell>
          <cell r="I20">
            <v>70711000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ČÁST A-Příloha 1-Rekapitulace"/>
      <sheetName val="Příloha 2 PŘÍJMY"/>
      <sheetName val="Příloha 3-Sumář provoz.výdajů"/>
      <sheetName val=" Příloha 4-Sumář OVS"/>
      <sheetName val="Příloha 5-FRB klasika"/>
      <sheetName val="FRB povodeň"/>
      <sheetName val="Příloha 6a)-Sumář PO"/>
      <sheetName val="Příloha 6b)-PO-škol. zař."/>
      <sheetName val="Příloha 7-příspěvky 2008 "/>
      <sheetName val="Část B -A- stavební investice"/>
      <sheetName val="B-proj.dokumentace"/>
      <sheetName val="C-nestavební inv."/>
      <sheetName val="D-OEP projekty"/>
      <sheetName val="E-OKR projekty"/>
      <sheetName val="F-příspěvky"/>
      <sheetName val="G-SNO"/>
      <sheetName val="H-SMV"/>
      <sheetName val="Rekapitulac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ř.4 Sumář OVS"/>
      <sheetName val="OVS"/>
      <sheetName val="Př.6a Sumář PO"/>
      <sheetName val="03-OKR"/>
      <sheetName val="04-živnost."/>
      <sheetName val="06-VAK"/>
      <sheetName val="08-AŘMV"/>
      <sheetName val="14-školství"/>
      <sheetName val="40-život.pr."/>
      <sheetName val="42 -ochrana"/>
    </sheetNames>
    <sheetDataSet>
      <sheetData sheetId="3">
        <row r="1">
          <cell r="I1" t="str">
            <v>Úspora UR</v>
          </cell>
          <cell r="J1" t="str">
            <v>UR mínus úspora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1"/>
  <sheetViews>
    <sheetView workbookViewId="0" topLeftCell="A1">
      <selection activeCell="B40" sqref="B40"/>
    </sheetView>
  </sheetViews>
  <sheetFormatPr defaultColWidth="9.00390625" defaultRowHeight="12.75"/>
  <cols>
    <col min="1" max="1" width="14.75390625" style="736" customWidth="1"/>
    <col min="2" max="2" width="77.75390625" style="736" customWidth="1"/>
    <col min="3" max="16384" width="9.125" style="736" customWidth="1"/>
  </cols>
  <sheetData>
    <row r="1" s="733" customFormat="1" ht="12.75"/>
    <row r="3" ht="15.75">
      <c r="A3" s="1158" t="s">
        <v>53</v>
      </c>
    </row>
    <row r="4" spans="1:2" ht="15">
      <c r="A4" s="734" t="s">
        <v>774</v>
      </c>
      <c r="B4" s="735" t="s">
        <v>393</v>
      </c>
    </row>
    <row r="5" spans="1:2" ht="15">
      <c r="A5" s="734"/>
      <c r="B5" s="737" t="s">
        <v>775</v>
      </c>
    </row>
    <row r="6" spans="1:2" ht="15">
      <c r="A6" s="734"/>
      <c r="B6" s="737"/>
    </row>
    <row r="7" spans="1:2" ht="15">
      <c r="A7" s="734"/>
      <c r="B7" s="737"/>
    </row>
    <row r="8" spans="1:2" ht="15">
      <c r="A8" s="734" t="s">
        <v>776</v>
      </c>
      <c r="B8" s="735" t="s">
        <v>394</v>
      </c>
    </row>
    <row r="9" spans="1:2" ht="15">
      <c r="A9" s="734"/>
      <c r="B9" s="737" t="s">
        <v>480</v>
      </c>
    </row>
    <row r="10" spans="1:2" ht="15">
      <c r="A10" s="734"/>
      <c r="B10" s="737"/>
    </row>
    <row r="11" spans="1:2" ht="15">
      <c r="A11" s="734"/>
      <c r="B11" s="737"/>
    </row>
    <row r="12" spans="1:2" ht="15">
      <c r="A12" s="734" t="s">
        <v>777</v>
      </c>
      <c r="B12" s="735" t="s">
        <v>395</v>
      </c>
    </row>
    <row r="13" spans="1:2" ht="15">
      <c r="A13" s="734"/>
      <c r="B13" s="737" t="s">
        <v>477</v>
      </c>
    </row>
    <row r="14" spans="1:2" ht="15">
      <c r="A14" s="734"/>
      <c r="B14" s="737"/>
    </row>
    <row r="15" spans="1:2" ht="15">
      <c r="A15" s="734"/>
      <c r="B15" s="737"/>
    </row>
    <row r="16" spans="1:2" ht="15">
      <c r="A16" s="734" t="s">
        <v>778</v>
      </c>
      <c r="B16" s="735" t="s">
        <v>396</v>
      </c>
    </row>
    <row r="17" spans="1:2" ht="15">
      <c r="A17" s="734"/>
      <c r="B17" s="737" t="s">
        <v>478</v>
      </c>
    </row>
    <row r="18" spans="1:2" ht="15">
      <c r="A18" s="734"/>
      <c r="B18" s="737"/>
    </row>
    <row r="19" spans="1:2" ht="15">
      <c r="A19" s="734"/>
      <c r="B19" s="737"/>
    </row>
    <row r="20" spans="1:2" ht="15">
      <c r="A20" s="734" t="s">
        <v>780</v>
      </c>
      <c r="B20" s="735" t="s">
        <v>398</v>
      </c>
    </row>
    <row r="21" spans="1:2" ht="15">
      <c r="A21" s="734"/>
      <c r="B21" s="737" t="s">
        <v>779</v>
      </c>
    </row>
    <row r="22" spans="1:2" ht="15">
      <c r="A22" s="734"/>
      <c r="B22" s="737"/>
    </row>
    <row r="23" spans="1:2" ht="15">
      <c r="A23" s="734"/>
      <c r="B23" s="737"/>
    </row>
    <row r="24" spans="1:2" ht="15.75" customHeight="1">
      <c r="A24" s="734" t="s">
        <v>389</v>
      </c>
      <c r="B24" s="738" t="s">
        <v>391</v>
      </c>
    </row>
    <row r="25" spans="1:2" ht="15">
      <c r="A25" s="734"/>
      <c r="B25" s="735" t="s">
        <v>399</v>
      </c>
    </row>
    <row r="26" spans="1:2" ht="15">
      <c r="A26" s="734"/>
      <c r="B26" s="737" t="s">
        <v>479</v>
      </c>
    </row>
    <row r="27" spans="1:2" ht="15">
      <c r="A27" s="734"/>
      <c r="B27" s="737"/>
    </row>
    <row r="28" spans="1:2" ht="15">
      <c r="A28" s="734"/>
      <c r="B28" s="737"/>
    </row>
    <row r="29" spans="1:2" ht="15.75">
      <c r="A29" s="1157"/>
      <c r="B29" s="737"/>
    </row>
    <row r="30" spans="1:2" ht="15">
      <c r="A30" s="734" t="s">
        <v>390</v>
      </c>
      <c r="B30" s="735" t="s">
        <v>400</v>
      </c>
    </row>
    <row r="31" spans="1:2" ht="15">
      <c r="A31" s="734"/>
      <c r="B31" s="737" t="s">
        <v>1157</v>
      </c>
    </row>
    <row r="32" spans="1:2" ht="15">
      <c r="A32" s="734"/>
      <c r="B32" s="737"/>
    </row>
    <row r="33" spans="1:2" ht="15">
      <c r="A33" s="734"/>
      <c r="B33" s="737"/>
    </row>
    <row r="34" spans="1:2" ht="15.75">
      <c r="A34" s="1158" t="s">
        <v>54</v>
      </c>
      <c r="B34" s="737"/>
    </row>
    <row r="35" spans="1:2" ht="15">
      <c r="A35" s="734" t="s">
        <v>392</v>
      </c>
      <c r="B35" s="735" t="s">
        <v>397</v>
      </c>
    </row>
    <row r="36" spans="1:2" ht="15">
      <c r="A36" s="734"/>
      <c r="B36" s="737" t="s">
        <v>481</v>
      </c>
    </row>
    <row r="37" spans="1:2" ht="15">
      <c r="A37" s="734"/>
      <c r="B37" s="737"/>
    </row>
    <row r="38" spans="1:2" ht="15">
      <c r="A38" s="734"/>
      <c r="B38" s="737"/>
    </row>
    <row r="39" spans="1:2" ht="15">
      <c r="A39" s="734"/>
      <c r="B39" s="737"/>
    </row>
    <row r="40" spans="1:2" ht="15">
      <c r="A40" s="734"/>
      <c r="B40" s="737"/>
    </row>
    <row r="41" spans="1:2" ht="15">
      <c r="A41" s="734"/>
      <c r="B41" s="1163"/>
    </row>
  </sheetData>
  <printOptions/>
  <pageMargins left="0.57" right="0.19" top="0.984251968503937" bottom="0.984251968503937" header="0.84" footer="0.5118110236220472"/>
  <pageSetup horizontalDpi="600" verticalDpi="600" orientation="portrait" paperSize="9" r:id="rId1"/>
  <headerFooter alignWithMargins="0">
    <oddHeader>&amp;C&amp;"Arial,Tučné"&amp;12SOUPIS PŘÍLOH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75" zoomScaleNormal="75" workbookViewId="0" topLeftCell="A4">
      <selection activeCell="A53" sqref="A53"/>
    </sheetView>
  </sheetViews>
  <sheetFormatPr defaultColWidth="9.00390625" defaultRowHeight="12.75" outlineLevelRow="2"/>
  <cols>
    <col min="1" max="1" width="27.875" style="839" customWidth="1"/>
    <col min="2" max="2" width="26.125" style="839" customWidth="1"/>
    <col min="3" max="3" width="13.00390625" style="839" customWidth="1"/>
    <col min="4" max="4" width="18.875" style="839" customWidth="1"/>
    <col min="5" max="5" width="10.75390625" style="839" customWidth="1"/>
    <col min="6" max="6" width="12.125" style="839" customWidth="1"/>
    <col min="7" max="7" width="25.25390625" style="839" customWidth="1"/>
    <col min="8" max="16384" width="9.125" style="839" customWidth="1"/>
  </cols>
  <sheetData>
    <row r="1" spans="1:10" s="841" customFormat="1" ht="14.25">
      <c r="A1" s="839"/>
      <c r="B1" s="839"/>
      <c r="C1" s="839"/>
      <c r="D1" s="839"/>
      <c r="E1" s="839"/>
      <c r="F1" s="839"/>
      <c r="G1" s="840" t="s">
        <v>950</v>
      </c>
      <c r="H1" s="839"/>
      <c r="I1" s="839"/>
      <c r="J1" s="839"/>
    </row>
    <row r="2" spans="1:10" s="841" customFormat="1" ht="14.25">
      <c r="A2" s="839"/>
      <c r="B2" s="839"/>
      <c r="C2" s="839"/>
      <c r="D2" s="839"/>
      <c r="E2" s="839"/>
      <c r="F2" s="839"/>
      <c r="G2" s="839"/>
      <c r="H2" s="839"/>
      <c r="I2" s="839"/>
      <c r="J2" s="839"/>
    </row>
    <row r="3" spans="1:10" s="841" customFormat="1" ht="15">
      <c r="A3" s="842" t="s">
        <v>951</v>
      </c>
      <c r="B3" s="839"/>
      <c r="C3" s="839"/>
      <c r="D3" s="839"/>
      <c r="E3" s="839"/>
      <c r="F3" s="1209" t="s">
        <v>952</v>
      </c>
      <c r="G3" s="1209"/>
      <c r="H3" s="839"/>
      <c r="I3" s="839"/>
      <c r="J3" s="839"/>
    </row>
    <row r="4" spans="2:7" s="843" customFormat="1" ht="15">
      <c r="B4" s="842"/>
      <c r="C4" s="839"/>
      <c r="E4" s="844"/>
      <c r="F4" s="845"/>
      <c r="G4"/>
    </row>
    <row r="5" spans="1:7" s="843" customFormat="1" ht="15" customHeight="1">
      <c r="A5" s="1208" t="s">
        <v>953</v>
      </c>
      <c r="B5" s="1208"/>
      <c r="C5" s="1208"/>
      <c r="D5" s="1208"/>
      <c r="E5" s="1208"/>
      <c r="F5" s="1208"/>
      <c r="G5" s="1208"/>
    </row>
    <row r="6" spans="1:7" s="843" customFormat="1" ht="15" customHeight="1">
      <c r="A6" s="1208"/>
      <c r="B6" s="1208"/>
      <c r="C6" s="1208"/>
      <c r="D6" s="1208"/>
      <c r="E6" s="1208"/>
      <c r="F6" s="1208"/>
      <c r="G6" s="1208"/>
    </row>
    <row r="7" spans="1:6" s="843" customFormat="1" ht="14.25">
      <c r="A7" s="839"/>
      <c r="B7" s="839"/>
      <c r="C7" s="839"/>
      <c r="D7" s="845"/>
      <c r="E7" s="844"/>
      <c r="F7" s="845"/>
    </row>
    <row r="8" spans="1:7" s="843" customFormat="1" ht="15" thickBot="1">
      <c r="A8" s="839"/>
      <c r="B8" s="839"/>
      <c r="C8" s="845"/>
      <c r="D8" s="845"/>
      <c r="E8" s="844"/>
      <c r="F8" s="845"/>
      <c r="G8" s="845" t="s">
        <v>954</v>
      </c>
    </row>
    <row r="9" spans="1:7" s="841" customFormat="1" ht="14.25">
      <c r="A9" s="846"/>
      <c r="B9" s="1205" t="s">
        <v>955</v>
      </c>
      <c r="C9" s="1210" t="s">
        <v>956</v>
      </c>
      <c r="D9" s="1169" t="s">
        <v>957</v>
      </c>
      <c r="E9" s="1172" t="s">
        <v>958</v>
      </c>
      <c r="F9" s="847" t="s">
        <v>959</v>
      </c>
      <c r="G9" s="848"/>
    </row>
    <row r="10" spans="1:7" s="841" customFormat="1" ht="14.25">
      <c r="A10" s="849" t="s">
        <v>960</v>
      </c>
      <c r="B10" s="1206"/>
      <c r="C10" s="1167"/>
      <c r="D10" s="1170"/>
      <c r="E10" s="1170"/>
      <c r="F10" s="850" t="s">
        <v>961</v>
      </c>
      <c r="G10" s="851" t="s">
        <v>283</v>
      </c>
    </row>
    <row r="11" spans="1:7" s="841" customFormat="1" ht="15" thickBot="1">
      <c r="A11" s="849"/>
      <c r="B11" s="1207"/>
      <c r="C11" s="1168"/>
      <c r="D11" s="1171"/>
      <c r="E11" s="1171"/>
      <c r="F11" s="852" t="s">
        <v>284</v>
      </c>
      <c r="G11" s="853"/>
    </row>
    <row r="12" spans="1:7" s="841" customFormat="1" ht="15" thickBot="1">
      <c r="A12" s="854"/>
      <c r="B12" s="856" t="s">
        <v>285</v>
      </c>
      <c r="C12" s="857">
        <v>2</v>
      </c>
      <c r="D12" s="858" t="s">
        <v>286</v>
      </c>
      <c r="E12" s="859">
        <v>5</v>
      </c>
      <c r="F12" s="858" t="s">
        <v>287</v>
      </c>
      <c r="G12" s="860">
        <v>7</v>
      </c>
    </row>
    <row r="13" spans="1:10" s="841" customFormat="1" ht="16.5" customHeight="1" outlineLevel="2">
      <c r="A13" s="861" t="s">
        <v>288</v>
      </c>
      <c r="B13" s="862" t="s">
        <v>289</v>
      </c>
      <c r="C13" s="863">
        <v>30000</v>
      </c>
      <c r="D13" s="864" t="s">
        <v>290</v>
      </c>
      <c r="E13" s="865" t="s">
        <v>291</v>
      </c>
      <c r="F13" s="866">
        <v>3.12</v>
      </c>
      <c r="G13" s="867" t="s">
        <v>292</v>
      </c>
      <c r="H13" s="839"/>
      <c r="I13" s="839"/>
      <c r="J13" s="839"/>
    </row>
    <row r="14" spans="1:10" s="841" customFormat="1" ht="16.5" customHeight="1" outlineLevel="2">
      <c r="A14" s="868" t="s">
        <v>288</v>
      </c>
      <c r="B14" s="862" t="s">
        <v>293</v>
      </c>
      <c r="C14" s="863">
        <v>250000</v>
      </c>
      <c r="D14" s="864" t="s">
        <v>294</v>
      </c>
      <c r="E14" s="865" t="s">
        <v>295</v>
      </c>
      <c r="F14" s="866">
        <v>3.968</v>
      </c>
      <c r="G14" s="867" t="s">
        <v>292</v>
      </c>
      <c r="H14" s="839"/>
      <c r="I14" s="839"/>
      <c r="J14" s="839"/>
    </row>
    <row r="15" spans="1:10" s="841" customFormat="1" ht="16.5" customHeight="1" outlineLevel="2">
      <c r="A15" s="868" t="s">
        <v>288</v>
      </c>
      <c r="B15" s="862" t="s">
        <v>293</v>
      </c>
      <c r="C15" s="863">
        <v>250000</v>
      </c>
      <c r="D15" s="864" t="s">
        <v>294</v>
      </c>
      <c r="E15" s="865" t="s">
        <v>295</v>
      </c>
      <c r="F15" s="866">
        <v>3.974</v>
      </c>
      <c r="G15" s="867" t="s">
        <v>292</v>
      </c>
      <c r="H15" s="839"/>
      <c r="I15" s="839"/>
      <c r="J15" s="839"/>
    </row>
    <row r="16" spans="1:10" s="841" customFormat="1" ht="16.5" customHeight="1" outlineLevel="2">
      <c r="A16" s="868"/>
      <c r="B16" s="862"/>
      <c r="C16" s="863"/>
      <c r="D16" s="864"/>
      <c r="E16" s="865"/>
      <c r="F16" s="866"/>
      <c r="G16" s="867"/>
      <c r="H16" s="839"/>
      <c r="I16" s="839"/>
      <c r="J16" s="839"/>
    </row>
    <row r="17" spans="1:10" s="841" customFormat="1" ht="16.5" customHeight="1" outlineLevel="2">
      <c r="A17" s="868"/>
      <c r="B17" s="862"/>
      <c r="C17" s="863"/>
      <c r="D17" s="864"/>
      <c r="E17" s="865"/>
      <c r="F17" s="866"/>
      <c r="G17" s="867"/>
      <c r="H17" s="839"/>
      <c r="I17" s="839"/>
      <c r="J17" s="839"/>
    </row>
    <row r="18" spans="1:10" s="841" customFormat="1" ht="16.5" customHeight="1" outlineLevel="2">
      <c r="A18" s="868"/>
      <c r="B18" s="862"/>
      <c r="C18" s="863"/>
      <c r="D18" s="864"/>
      <c r="E18" s="865"/>
      <c r="F18" s="866"/>
      <c r="G18" s="867"/>
      <c r="H18" s="839"/>
      <c r="I18" s="839"/>
      <c r="J18" s="839"/>
    </row>
    <row r="19" spans="1:10" s="841" customFormat="1" ht="16.5" customHeight="1" outlineLevel="2">
      <c r="A19" s="868"/>
      <c r="B19" s="862"/>
      <c r="C19" s="863"/>
      <c r="D19" s="864"/>
      <c r="E19" s="865"/>
      <c r="F19" s="866"/>
      <c r="G19" s="867"/>
      <c r="H19" s="839"/>
      <c r="I19" s="839"/>
      <c r="J19" s="839"/>
    </row>
    <row r="20" spans="1:10" s="841" customFormat="1" ht="16.5" customHeight="1" outlineLevel="2">
      <c r="A20" s="868"/>
      <c r="B20" s="862"/>
      <c r="C20" s="863"/>
      <c r="D20" s="864"/>
      <c r="E20" s="865"/>
      <c r="F20" s="866"/>
      <c r="G20" s="867"/>
      <c r="H20" s="839"/>
      <c r="I20" s="839"/>
      <c r="J20" s="839"/>
    </row>
    <row r="21" spans="1:10" s="841" customFormat="1" ht="16.5" customHeight="1" outlineLevel="2">
      <c r="A21" s="868"/>
      <c r="B21" s="862"/>
      <c r="C21" s="863"/>
      <c r="D21" s="864"/>
      <c r="E21" s="865"/>
      <c r="F21" s="866"/>
      <c r="G21" s="867"/>
      <c r="H21" s="839"/>
      <c r="I21" s="839"/>
      <c r="J21" s="839"/>
    </row>
    <row r="22" spans="1:10" s="841" customFormat="1" ht="16.5" customHeight="1" outlineLevel="2">
      <c r="A22" s="868"/>
      <c r="B22" s="862"/>
      <c r="C22" s="863"/>
      <c r="D22" s="864"/>
      <c r="E22" s="865"/>
      <c r="F22" s="866"/>
      <c r="G22" s="867"/>
      <c r="H22" s="839"/>
      <c r="I22" s="839"/>
      <c r="J22" s="839"/>
    </row>
    <row r="23" spans="1:10" s="841" customFormat="1" ht="16.5" customHeight="1" outlineLevel="2">
      <c r="A23" s="868"/>
      <c r="B23" s="862"/>
      <c r="C23" s="863"/>
      <c r="D23" s="864"/>
      <c r="E23" s="865"/>
      <c r="F23" s="866"/>
      <c r="G23" s="867"/>
      <c r="H23" s="839"/>
      <c r="I23" s="839"/>
      <c r="J23" s="839"/>
    </row>
    <row r="24" spans="1:10" s="841" customFormat="1" ht="16.5" customHeight="1" outlineLevel="2">
      <c r="A24" s="868"/>
      <c r="B24" s="862"/>
      <c r="C24" s="863"/>
      <c r="D24" s="864"/>
      <c r="E24" s="865"/>
      <c r="F24" s="866"/>
      <c r="G24" s="867"/>
      <c r="H24" s="839"/>
      <c r="I24" s="839"/>
      <c r="J24" s="839"/>
    </row>
    <row r="25" spans="1:10" s="841" customFormat="1" ht="16.5" customHeight="1" outlineLevel="2" thickBot="1">
      <c r="A25" s="869"/>
      <c r="B25" s="870"/>
      <c r="C25" s="863"/>
      <c r="D25" s="864"/>
      <c r="E25" s="865"/>
      <c r="F25" s="866"/>
      <c r="G25" s="867"/>
      <c r="H25" s="839"/>
      <c r="I25" s="839"/>
      <c r="J25" s="839"/>
    </row>
    <row r="26" spans="1:10" s="878" customFormat="1" ht="25.5" customHeight="1" thickBot="1">
      <c r="A26" s="871" t="s">
        <v>296</v>
      </c>
      <c r="B26" s="872"/>
      <c r="C26" s="873">
        <f>SUM(C12:C25)</f>
        <v>530002</v>
      </c>
      <c r="D26" s="874"/>
      <c r="E26" s="874"/>
      <c r="F26" s="875"/>
      <c r="G26" s="876"/>
      <c r="H26" s="877"/>
      <c r="I26" s="877"/>
      <c r="J26" s="877"/>
    </row>
    <row r="27" ht="14.25">
      <c r="A27" s="879" t="s">
        <v>297</v>
      </c>
    </row>
    <row r="28" spans="1:2" ht="15">
      <c r="A28" s="877"/>
      <c r="B28" s="877"/>
    </row>
    <row r="29" spans="1:6" ht="14.25">
      <c r="A29" s="839" t="s">
        <v>298</v>
      </c>
      <c r="C29" s="880" t="s">
        <v>299</v>
      </c>
      <c r="D29" s="881" t="s">
        <v>300</v>
      </c>
      <c r="E29" s="882">
        <v>40211</v>
      </c>
      <c r="F29" s="880" t="s">
        <v>301</v>
      </c>
    </row>
    <row r="30" spans="1:3" ht="14.25">
      <c r="A30" s="839" t="s">
        <v>302</v>
      </c>
      <c r="C30" s="839" t="s">
        <v>303</v>
      </c>
    </row>
    <row r="31" spans="1:3" ht="14.25">
      <c r="A31" s="839" t="s">
        <v>304</v>
      </c>
      <c r="C31" s="839" t="s">
        <v>305</v>
      </c>
    </row>
    <row r="32" spans="1:3" ht="14.25">
      <c r="A32" s="839" t="s">
        <v>306</v>
      </c>
      <c r="C32" s="839" t="s">
        <v>307</v>
      </c>
    </row>
  </sheetData>
  <mergeCells count="6">
    <mergeCell ref="B9:B11"/>
    <mergeCell ref="A5:G6"/>
    <mergeCell ref="F3:G3"/>
    <mergeCell ref="C9:C11"/>
    <mergeCell ref="D9:D11"/>
    <mergeCell ref="E9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&amp;C13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selection activeCell="L21" sqref="L21"/>
    </sheetView>
  </sheetViews>
  <sheetFormatPr defaultColWidth="9.00390625" defaultRowHeight="12.75" outlineLevelRow="2"/>
  <cols>
    <col min="1" max="1" width="23.25390625" style="839" customWidth="1"/>
    <col min="2" max="2" width="10.25390625" style="839" customWidth="1"/>
    <col min="3" max="3" width="10.75390625" style="839" customWidth="1"/>
    <col min="4" max="4" width="10.375" style="839" customWidth="1"/>
    <col min="5" max="5" width="15.75390625" style="839" customWidth="1"/>
    <col min="6" max="6" width="12.125" style="839" customWidth="1"/>
    <col min="7" max="7" width="21.75390625" style="839" customWidth="1"/>
    <col min="8" max="8" width="24.375" style="839" customWidth="1"/>
    <col min="9" max="16384" width="9.125" style="839" customWidth="1"/>
  </cols>
  <sheetData>
    <row r="1" ht="14.25">
      <c r="H1" s="840" t="s">
        <v>873</v>
      </c>
    </row>
    <row r="2" spans="1:10" s="841" customFormat="1" ht="14.25">
      <c r="A2" s="839"/>
      <c r="B2" s="839"/>
      <c r="C2" s="839"/>
      <c r="D2" s="839"/>
      <c r="E2" s="839"/>
      <c r="F2" s="839"/>
      <c r="G2" s="839"/>
      <c r="H2" s="839"/>
      <c r="I2" s="839"/>
      <c r="J2" s="839"/>
    </row>
    <row r="3" spans="1:10" s="841" customFormat="1" ht="15">
      <c r="A3" s="842" t="s">
        <v>874</v>
      </c>
      <c r="B3" s="839"/>
      <c r="C3" s="839"/>
      <c r="D3" s="839"/>
      <c r="E3" s="839"/>
      <c r="F3" s="839"/>
      <c r="G3" s="1209" t="s">
        <v>952</v>
      </c>
      <c r="H3" s="1209"/>
      <c r="I3" s="839"/>
      <c r="J3" s="839"/>
    </row>
    <row r="4" spans="2:8" s="843" customFormat="1" ht="15">
      <c r="B4" s="842"/>
      <c r="C4" s="839"/>
      <c r="F4" s="845"/>
      <c r="G4" s="844"/>
      <c r="H4"/>
    </row>
    <row r="5" spans="1:8" s="843" customFormat="1" ht="15">
      <c r="A5" s="1173" t="s">
        <v>875</v>
      </c>
      <c r="B5" s="1173"/>
      <c r="C5" s="1173"/>
      <c r="D5" s="1173"/>
      <c r="E5" s="1173"/>
      <c r="F5" s="1173"/>
      <c r="G5" s="1173"/>
      <c r="H5" s="1173"/>
    </row>
    <row r="6" spans="1:7" s="843" customFormat="1" ht="14.25">
      <c r="A6" s="839"/>
      <c r="B6" s="839"/>
      <c r="C6" s="839"/>
      <c r="D6" s="839"/>
      <c r="E6" s="845"/>
      <c r="F6" s="845"/>
      <c r="G6" s="844"/>
    </row>
    <row r="7" spans="1:7" s="843" customFormat="1" ht="14.25">
      <c r="A7" s="839"/>
      <c r="B7" s="839"/>
      <c r="C7" s="839"/>
      <c r="D7" s="839"/>
      <c r="E7" s="845"/>
      <c r="F7" s="845"/>
      <c r="G7" s="844"/>
    </row>
    <row r="8" spans="1:8" s="843" customFormat="1" ht="15" thickBot="1">
      <c r="A8" s="839"/>
      <c r="B8" s="839"/>
      <c r="C8" s="845"/>
      <c r="E8" s="845"/>
      <c r="F8" s="845"/>
      <c r="G8" s="844"/>
      <c r="H8" s="845" t="s">
        <v>876</v>
      </c>
    </row>
    <row r="9" spans="1:8" s="841" customFormat="1" ht="14.25">
      <c r="A9" s="846"/>
      <c r="B9" s="883"/>
      <c r="C9" s="884"/>
      <c r="D9" s="885"/>
      <c r="E9" s="886"/>
      <c r="F9" s="1169" t="s">
        <v>877</v>
      </c>
      <c r="G9" s="887"/>
      <c r="H9" s="888"/>
    </row>
    <row r="10" spans="1:8" s="841" customFormat="1" ht="14.25">
      <c r="A10" s="849" t="s">
        <v>878</v>
      </c>
      <c r="B10" s="890" t="s">
        <v>879</v>
      </c>
      <c r="C10" s="891" t="s">
        <v>880</v>
      </c>
      <c r="D10" s="892" t="s">
        <v>881</v>
      </c>
      <c r="E10" s="893" t="s">
        <v>882</v>
      </c>
      <c r="F10" s="1170"/>
      <c r="G10" s="894" t="s">
        <v>883</v>
      </c>
      <c r="H10" s="895" t="s">
        <v>884</v>
      </c>
    </row>
    <row r="11" spans="1:8" s="841" customFormat="1" ht="15" thickBot="1">
      <c r="A11" s="849"/>
      <c r="B11" s="890"/>
      <c r="C11" s="896"/>
      <c r="D11" s="897"/>
      <c r="E11" s="898"/>
      <c r="F11" s="1171"/>
      <c r="G11" s="864"/>
      <c r="H11" s="867"/>
    </row>
    <row r="12" spans="1:8" s="841" customFormat="1" ht="15" thickBot="1">
      <c r="A12" s="854"/>
      <c r="B12" s="846">
        <v>1</v>
      </c>
      <c r="C12" s="899">
        <v>2</v>
      </c>
      <c r="D12" s="900">
        <v>3</v>
      </c>
      <c r="E12" s="901" t="s">
        <v>286</v>
      </c>
      <c r="F12" s="858" t="s">
        <v>885</v>
      </c>
      <c r="G12" s="859">
        <v>6</v>
      </c>
      <c r="H12" s="860">
        <v>7</v>
      </c>
    </row>
    <row r="13" spans="1:10" s="841" customFormat="1" ht="16.5" customHeight="1" outlineLevel="2">
      <c r="A13" s="902" t="s">
        <v>288</v>
      </c>
      <c r="B13" s="903">
        <v>2009</v>
      </c>
      <c r="C13" s="865"/>
      <c r="D13" s="865"/>
      <c r="E13" s="865"/>
      <c r="F13" s="865"/>
      <c r="G13" s="865"/>
      <c r="H13" s="904"/>
      <c r="I13" s="839"/>
      <c r="J13" s="839"/>
    </row>
    <row r="14" spans="1:10" s="841" customFormat="1" ht="16.5" customHeight="1" outlineLevel="2">
      <c r="A14" s="868"/>
      <c r="B14" s="905"/>
      <c r="C14" s="865"/>
      <c r="D14" s="865"/>
      <c r="E14" s="865"/>
      <c r="F14" s="865"/>
      <c r="G14" s="865"/>
      <c r="H14" s="904"/>
      <c r="I14" s="839"/>
      <c r="J14" s="839"/>
    </row>
    <row r="15" spans="1:11" s="841" customFormat="1" ht="16.5" customHeight="1" outlineLevel="2">
      <c r="A15" s="868"/>
      <c r="B15" s="905"/>
      <c r="C15" s="865"/>
      <c r="D15" s="865"/>
      <c r="E15" s="865"/>
      <c r="F15" s="865"/>
      <c r="G15" s="865"/>
      <c r="H15" s="904"/>
      <c r="I15" s="839"/>
      <c r="J15" s="839"/>
      <c r="K15" s="839"/>
    </row>
    <row r="16" spans="1:11" s="841" customFormat="1" ht="16.5" customHeight="1" outlineLevel="2">
      <c r="A16" s="868"/>
      <c r="B16" s="905"/>
      <c r="C16" s="865"/>
      <c r="D16" s="865"/>
      <c r="E16" s="865"/>
      <c r="F16" s="865"/>
      <c r="G16" s="865"/>
      <c r="H16" s="904"/>
      <c r="I16" s="839"/>
      <c r="J16" s="839"/>
      <c r="K16" s="839"/>
    </row>
    <row r="17" spans="1:11" s="841" customFormat="1" ht="16.5" customHeight="1" outlineLevel="2">
      <c r="A17" s="868"/>
      <c r="B17" s="905"/>
      <c r="C17" s="865"/>
      <c r="D17" s="865"/>
      <c r="E17" s="865"/>
      <c r="F17" s="865"/>
      <c r="G17" s="865"/>
      <c r="H17" s="904"/>
      <c r="I17" s="839"/>
      <c r="J17" s="839"/>
      <c r="K17" s="839"/>
    </row>
    <row r="18" spans="1:11" s="841" customFormat="1" ht="16.5" customHeight="1" outlineLevel="2">
      <c r="A18" s="868"/>
      <c r="B18" s="905"/>
      <c r="C18" s="865"/>
      <c r="D18" s="865"/>
      <c r="E18" s="906"/>
      <c r="F18" s="865"/>
      <c r="G18" s="865"/>
      <c r="H18" s="904"/>
      <c r="I18" s="839"/>
      <c r="J18" s="839"/>
      <c r="K18" s="839"/>
    </row>
    <row r="19" spans="1:11" s="841" customFormat="1" ht="16.5" customHeight="1" outlineLevel="2">
      <c r="A19" s="868"/>
      <c r="B19" s="905"/>
      <c r="C19" s="865"/>
      <c r="D19" s="865"/>
      <c r="E19" s="865"/>
      <c r="F19" s="865"/>
      <c r="G19" s="865"/>
      <c r="H19" s="904"/>
      <c r="I19" s="839"/>
      <c r="J19" s="839"/>
      <c r="K19" s="839"/>
    </row>
    <row r="20" spans="1:11" s="841" customFormat="1" ht="16.5" customHeight="1" outlineLevel="2">
      <c r="A20" s="868"/>
      <c r="B20" s="905"/>
      <c r="C20" s="865"/>
      <c r="D20" s="865"/>
      <c r="E20" s="865"/>
      <c r="F20" s="865"/>
      <c r="G20" s="865"/>
      <c r="H20" s="904"/>
      <c r="I20" s="839"/>
      <c r="J20" s="839"/>
      <c r="K20" s="839"/>
    </row>
    <row r="21" spans="1:11" s="841" customFormat="1" ht="16.5" customHeight="1" outlineLevel="2">
      <c r="A21" s="868"/>
      <c r="B21" s="905"/>
      <c r="C21" s="865"/>
      <c r="D21" s="865"/>
      <c r="E21" s="865"/>
      <c r="F21" s="865"/>
      <c r="G21" s="865"/>
      <c r="H21" s="904"/>
      <c r="I21" s="839"/>
      <c r="J21" s="839"/>
      <c r="K21" s="839"/>
    </row>
    <row r="22" spans="1:11" s="841" customFormat="1" ht="16.5" customHeight="1" outlineLevel="2">
      <c r="A22" s="868"/>
      <c r="B22" s="905"/>
      <c r="C22" s="865"/>
      <c r="D22" s="865"/>
      <c r="E22" s="865"/>
      <c r="F22" s="865"/>
      <c r="G22" s="865"/>
      <c r="H22" s="904"/>
      <c r="I22" s="839"/>
      <c r="J22" s="839"/>
      <c r="K22" s="839"/>
    </row>
    <row r="23" spans="1:11" s="841" customFormat="1" ht="16.5" customHeight="1" outlineLevel="2">
      <c r="A23" s="868"/>
      <c r="B23" s="905"/>
      <c r="C23" s="865"/>
      <c r="D23" s="865"/>
      <c r="E23" s="865"/>
      <c r="F23" s="865"/>
      <c r="G23" s="865"/>
      <c r="H23" s="904"/>
      <c r="I23" s="839"/>
      <c r="J23" s="839"/>
      <c r="K23" s="839"/>
    </row>
    <row r="24" spans="1:11" s="841" customFormat="1" ht="16.5" customHeight="1" outlineLevel="2">
      <c r="A24" s="868"/>
      <c r="B24" s="905"/>
      <c r="C24" s="865"/>
      <c r="D24" s="865"/>
      <c r="E24" s="865"/>
      <c r="F24" s="865"/>
      <c r="G24" s="865"/>
      <c r="H24" s="904"/>
      <c r="I24" s="839"/>
      <c r="J24" s="839"/>
      <c r="K24" s="839"/>
    </row>
    <row r="25" spans="1:11" s="841" customFormat="1" ht="16.5" customHeight="1" outlineLevel="2" thickBot="1">
      <c r="A25" s="869"/>
      <c r="B25" s="907"/>
      <c r="C25" s="865"/>
      <c r="D25" s="865"/>
      <c r="E25" s="865"/>
      <c r="F25" s="865"/>
      <c r="G25" s="865"/>
      <c r="H25" s="904"/>
      <c r="I25" s="839"/>
      <c r="J25" s="839"/>
      <c r="K25" s="839"/>
    </row>
    <row r="26" spans="1:11" s="878" customFormat="1" ht="25.5" customHeight="1" thickBot="1">
      <c r="A26" s="908" t="s">
        <v>886</v>
      </c>
      <c r="B26" s="909"/>
      <c r="C26" s="910"/>
      <c r="D26" s="874"/>
      <c r="E26" s="874"/>
      <c r="F26" s="874"/>
      <c r="G26" s="874"/>
      <c r="H26" s="876"/>
      <c r="I26" s="877"/>
      <c r="J26" s="877"/>
      <c r="K26" s="877"/>
    </row>
    <row r="28" spans="1:2" ht="15">
      <c r="A28" s="877"/>
      <c r="B28" s="877"/>
    </row>
    <row r="29" spans="1:8" ht="14.25">
      <c r="A29" s="839" t="s">
        <v>887</v>
      </c>
      <c r="C29" s="880" t="s">
        <v>888</v>
      </c>
      <c r="F29" s="839" t="s">
        <v>300</v>
      </c>
      <c r="G29" s="1174" t="s">
        <v>301</v>
      </c>
      <c r="H29" s="1174"/>
    </row>
    <row r="30" spans="1:6" ht="14.25">
      <c r="A30" s="839" t="s">
        <v>302</v>
      </c>
      <c r="C30" s="839" t="s">
        <v>303</v>
      </c>
      <c r="F30" s="882">
        <v>40211</v>
      </c>
    </row>
    <row r="31" spans="1:3" ht="14.25">
      <c r="A31" s="839" t="s">
        <v>304</v>
      </c>
      <c r="C31" s="839" t="s">
        <v>305</v>
      </c>
    </row>
    <row r="32" spans="1:3" ht="14.25">
      <c r="A32" s="839" t="s">
        <v>306</v>
      </c>
      <c r="C32" s="839" t="s">
        <v>307</v>
      </c>
    </row>
    <row r="33" spans="1:8" ht="14.25">
      <c r="A33" s="911"/>
      <c r="B33" s="911"/>
      <c r="C33" s="911"/>
      <c r="D33" s="911"/>
      <c r="E33" s="911"/>
      <c r="F33" s="911"/>
      <c r="G33" s="911"/>
      <c r="H33" s="911"/>
    </row>
  </sheetData>
  <mergeCells count="4">
    <mergeCell ref="A5:H5"/>
    <mergeCell ref="G29:H29"/>
    <mergeCell ref="F9:F11"/>
    <mergeCell ref="G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&amp;C14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37" sqref="D37"/>
    </sheetView>
  </sheetViews>
  <sheetFormatPr defaultColWidth="9.00390625" defaultRowHeight="12.75"/>
  <cols>
    <col min="1" max="5" width="25.75390625" style="913" customWidth="1"/>
    <col min="6" max="16384" width="9.125" style="913" customWidth="1"/>
  </cols>
  <sheetData>
    <row r="1" spans="1:5" ht="15">
      <c r="A1" s="912" t="s">
        <v>889</v>
      </c>
      <c r="E1" s="914" t="s">
        <v>890</v>
      </c>
    </row>
    <row r="2" spans="1:5" ht="14.25">
      <c r="A2" s="915" t="s">
        <v>891</v>
      </c>
      <c r="E2" s="914"/>
    </row>
    <row r="3" spans="1:5" ht="14.25">
      <c r="A3" s="915" t="s">
        <v>892</v>
      </c>
      <c r="E3" s="914"/>
    </row>
    <row r="4" spans="1:5" ht="14.25">
      <c r="A4" s="915" t="s">
        <v>893</v>
      </c>
      <c r="E4" s="914"/>
    </row>
    <row r="6" spans="1:9" ht="18">
      <c r="A6" s="1175" t="s">
        <v>894</v>
      </c>
      <c r="B6" s="1175"/>
      <c r="C6" s="1175"/>
      <c r="D6" s="1175"/>
      <c r="E6" s="1175"/>
      <c r="F6" s="916"/>
      <c r="G6" s="855"/>
      <c r="H6" s="855"/>
      <c r="I6" s="855"/>
    </row>
    <row r="7" spans="1:9" ht="18">
      <c r="A7" s="855"/>
      <c r="B7" s="855"/>
      <c r="C7" s="855"/>
      <c r="D7" s="855"/>
      <c r="E7" s="855"/>
      <c r="F7" s="916"/>
      <c r="G7" s="855"/>
      <c r="H7" s="855"/>
      <c r="I7" s="855"/>
    </row>
    <row r="8" spans="1:9" ht="18">
      <c r="A8" s="917" t="s">
        <v>895</v>
      </c>
      <c r="B8" s="855" t="s">
        <v>896</v>
      </c>
      <c r="C8" s="855"/>
      <c r="D8" s="855"/>
      <c r="E8" s="855"/>
      <c r="F8" s="916"/>
      <c r="G8" s="855"/>
      <c r="H8" s="855"/>
      <c r="I8" s="855"/>
    </row>
    <row r="9" spans="1:9" ht="15.75">
      <c r="A9" s="917" t="s">
        <v>897</v>
      </c>
      <c r="B9" s="855" t="s">
        <v>898</v>
      </c>
      <c r="C9" s="855"/>
      <c r="D9" s="855"/>
      <c r="E9" s="855"/>
      <c r="F9" s="855"/>
      <c r="G9" s="855"/>
      <c r="H9" s="855"/>
      <c r="I9" s="855"/>
    </row>
    <row r="10" ht="13.5" thickBot="1"/>
    <row r="11" spans="1:5" ht="33" customHeight="1" thickBot="1">
      <c r="A11" s="918" t="s">
        <v>899</v>
      </c>
      <c r="B11" s="919" t="s">
        <v>900</v>
      </c>
      <c r="C11" s="922" t="s">
        <v>901</v>
      </c>
      <c r="D11" s="919" t="s">
        <v>902</v>
      </c>
      <c r="E11" s="923" t="s">
        <v>903</v>
      </c>
    </row>
    <row r="12" spans="1:5" ht="42" customHeight="1" thickBot="1">
      <c r="A12" s="924">
        <v>98216</v>
      </c>
      <c r="B12" s="925">
        <v>10996062</v>
      </c>
      <c r="C12" s="925">
        <v>10996062</v>
      </c>
      <c r="D12" s="926">
        <v>0</v>
      </c>
      <c r="E12" s="927">
        <v>0</v>
      </c>
    </row>
    <row r="13" spans="1:4" ht="13.5" customHeight="1">
      <c r="A13" s="928" t="s">
        <v>904</v>
      </c>
      <c r="B13" s="928"/>
      <c r="C13" s="928"/>
      <c r="D13" s="928"/>
    </row>
    <row r="14" spans="1:4" ht="13.5" customHeight="1">
      <c r="A14" s="929" t="s">
        <v>186</v>
      </c>
      <c r="B14" s="928"/>
      <c r="C14" s="928"/>
      <c r="D14" s="928"/>
    </row>
    <row r="15" spans="1:4" ht="13.5" customHeight="1">
      <c r="A15" s="928" t="s">
        <v>187</v>
      </c>
      <c r="B15" s="928"/>
      <c r="C15" s="928"/>
      <c r="D15" s="928"/>
    </row>
    <row r="16" spans="1:4" ht="13.5" customHeight="1">
      <c r="A16" s="928" t="s">
        <v>188</v>
      </c>
      <c r="B16" s="928"/>
      <c r="C16" s="928"/>
      <c r="D16" s="928"/>
    </row>
    <row r="17" spans="1:4" ht="13.5" customHeight="1">
      <c r="A17" s="928" t="s">
        <v>189</v>
      </c>
      <c r="B17" s="928"/>
      <c r="C17" s="928"/>
      <c r="D17" s="928"/>
    </row>
    <row r="18" ht="13.5" customHeight="1">
      <c r="A18" s="930"/>
    </row>
    <row r="19" ht="13.5" thickBot="1"/>
    <row r="20" spans="1:3" ht="33" customHeight="1" thickBot="1">
      <c r="A20" s="931" t="s">
        <v>899</v>
      </c>
      <c r="B20" s="932" t="s">
        <v>190</v>
      </c>
      <c r="C20" s="931" t="s">
        <v>191</v>
      </c>
    </row>
    <row r="21" spans="1:3" ht="42" customHeight="1" thickBot="1">
      <c r="A21" s="924">
        <v>98216</v>
      </c>
      <c r="B21" s="933">
        <v>9383</v>
      </c>
      <c r="C21" s="926">
        <v>26</v>
      </c>
    </row>
    <row r="22" spans="1:4" ht="12.75">
      <c r="A22" s="928" t="s">
        <v>192</v>
      </c>
      <c r="B22" s="928"/>
      <c r="C22" s="928"/>
      <c r="D22" s="928"/>
    </row>
    <row r="23" spans="1:4" ht="12.75">
      <c r="A23" s="928" t="s">
        <v>193</v>
      </c>
      <c r="B23" s="928"/>
      <c r="C23" s="928"/>
      <c r="D23" s="928"/>
    </row>
    <row r="24" spans="1:4" ht="12.75">
      <c r="A24" s="928" t="s">
        <v>194</v>
      </c>
      <c r="B24" s="928"/>
      <c r="C24" s="928"/>
      <c r="D24" s="928"/>
    </row>
    <row r="25" ht="12.75">
      <c r="A25" s="934" t="s">
        <v>195</v>
      </c>
    </row>
    <row r="27" ht="12.75">
      <c r="A27" s="930" t="s">
        <v>196</v>
      </c>
    </row>
    <row r="28" ht="12.75">
      <c r="A28" s="930" t="s">
        <v>197</v>
      </c>
    </row>
  </sheetData>
  <mergeCells count="1">
    <mergeCell ref="A6:E6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F75"/>
  <sheetViews>
    <sheetView zoomScale="75" zoomScaleNormal="75" zoomScaleSheetLayoutView="75" workbookViewId="0" topLeftCell="A43">
      <selection activeCell="B95" sqref="B95"/>
    </sheetView>
  </sheetViews>
  <sheetFormatPr defaultColWidth="9.00390625" defaultRowHeight="12.75"/>
  <cols>
    <col min="1" max="1" width="16.375" style="911" customWidth="1"/>
    <col min="2" max="2" width="58.00390625" style="911" customWidth="1"/>
    <col min="3" max="3" width="21.625" style="911" customWidth="1"/>
    <col min="4" max="4" width="17.00390625" style="911" customWidth="1"/>
    <col min="5" max="5" width="18.875" style="911" customWidth="1"/>
    <col min="6" max="16384" width="9.125" style="911" customWidth="1"/>
  </cols>
  <sheetData>
    <row r="1" spans="1:5" ht="15.75">
      <c r="A1" s="935" t="s">
        <v>578</v>
      </c>
      <c r="B1" s="935"/>
      <c r="C1" s="936"/>
      <c r="E1" s="937" t="s">
        <v>198</v>
      </c>
    </row>
    <row r="2" spans="1:5" ht="15.75">
      <c r="A2" s="935" t="s">
        <v>199</v>
      </c>
      <c r="B2" s="938" t="s">
        <v>200</v>
      </c>
      <c r="C2" s="935"/>
      <c r="D2" s="935"/>
      <c r="E2" s="935"/>
    </row>
    <row r="3" spans="1:5" ht="15.75">
      <c r="A3" s="935" t="s">
        <v>201</v>
      </c>
      <c r="B3" s="939">
        <v>299308</v>
      </c>
      <c r="C3" s="935"/>
      <c r="D3" s="935"/>
      <c r="E3" s="935"/>
    </row>
    <row r="4" spans="1:5" ht="15">
      <c r="A4" s="935"/>
      <c r="B4" s="935"/>
      <c r="C4" s="935"/>
      <c r="D4" s="935"/>
      <c r="E4" s="935"/>
    </row>
    <row r="5" spans="1:6" ht="15">
      <c r="A5" s="1177" t="s">
        <v>202</v>
      </c>
      <c r="B5" s="1177"/>
      <c r="C5" s="1177"/>
      <c r="D5" s="1177"/>
      <c r="E5" s="1177"/>
      <c r="F5" s="940"/>
    </row>
    <row r="6" spans="1:6" ht="15">
      <c r="A6" s="1177" t="s">
        <v>579</v>
      </c>
      <c r="B6" s="1177"/>
      <c r="C6" s="1177"/>
      <c r="D6" s="1177"/>
      <c r="E6" s="1177"/>
      <c r="F6" s="941"/>
    </row>
    <row r="7" spans="1:6" ht="15">
      <c r="A7" s="1177" t="s">
        <v>203</v>
      </c>
      <c r="B7" s="1177"/>
      <c r="C7" s="1177"/>
      <c r="D7" s="1177"/>
      <c r="E7" s="1177"/>
      <c r="F7" s="942"/>
    </row>
    <row r="8" spans="1:5" ht="12.75">
      <c r="A8" s="943"/>
      <c r="B8" s="1176"/>
      <c r="C8" s="1176"/>
      <c r="D8" s="1176"/>
      <c r="E8" s="1176"/>
    </row>
    <row r="9" spans="3:5" ht="13.5" thickBot="1">
      <c r="C9" s="944"/>
      <c r="D9" s="732"/>
      <c r="E9" s="945" t="s">
        <v>204</v>
      </c>
    </row>
    <row r="10" spans="1:5" s="949" customFormat="1" ht="50.25" customHeight="1" thickBot="1">
      <c r="A10" s="946" t="s">
        <v>205</v>
      </c>
      <c r="B10" s="947" t="s">
        <v>206</v>
      </c>
      <c r="C10" s="948" t="s">
        <v>207</v>
      </c>
      <c r="D10" s="946" t="s">
        <v>208</v>
      </c>
      <c r="E10" s="946" t="s">
        <v>209</v>
      </c>
    </row>
    <row r="11" spans="1:5" ht="15" thickBot="1">
      <c r="A11" s="950" t="s">
        <v>210</v>
      </c>
      <c r="B11" s="950" t="s">
        <v>211</v>
      </c>
      <c r="C11" s="951">
        <v>1</v>
      </c>
      <c r="D11" s="950">
        <v>2</v>
      </c>
      <c r="E11" s="952" t="s">
        <v>212</v>
      </c>
    </row>
    <row r="12" spans="1:5" ht="15.75" thickBot="1">
      <c r="A12" s="846"/>
      <c r="B12" s="953" t="s">
        <v>213</v>
      </c>
      <c r="C12" s="954">
        <f>SUM(C14,C21,C26,C30,C33,C37,C41,C42,C43,C46,C47,C50,C53,C57,)</f>
        <v>0</v>
      </c>
      <c r="D12" s="954">
        <f>SUM(D14,D21,D26,D30,D33,D37,D41,D42,D43,D46,D47,D50,D53,D57,)</f>
        <v>0</v>
      </c>
      <c r="E12" s="955">
        <f>C12-D12</f>
        <v>0</v>
      </c>
    </row>
    <row r="13" spans="1:5" ht="14.25">
      <c r="A13" s="956"/>
      <c r="B13" s="957" t="s">
        <v>214</v>
      </c>
      <c r="C13" s="958"/>
      <c r="D13" s="958"/>
      <c r="E13" s="959"/>
    </row>
    <row r="14" spans="1:5" ht="15">
      <c r="A14" s="960">
        <v>33353</v>
      </c>
      <c r="B14" s="961" t="s">
        <v>215</v>
      </c>
      <c r="C14" s="962">
        <f>SUM(C15:C19)</f>
        <v>0</v>
      </c>
      <c r="D14" s="962">
        <f>SUM(D15:D19)</f>
        <v>0</v>
      </c>
      <c r="E14" s="963">
        <f aca="true" t="shared" si="0" ref="E14:E19">SUM(C14-D14)</f>
        <v>0</v>
      </c>
    </row>
    <row r="15" spans="1:5" ht="15">
      <c r="A15" s="964"/>
      <c r="B15" s="965" t="s">
        <v>216</v>
      </c>
      <c r="C15" s="966"/>
      <c r="D15" s="966"/>
      <c r="E15" s="967">
        <f t="shared" si="0"/>
        <v>0</v>
      </c>
    </row>
    <row r="16" spans="1:5" ht="15">
      <c r="A16" s="968"/>
      <c r="B16" s="965" t="s">
        <v>217</v>
      </c>
      <c r="C16" s="966"/>
      <c r="D16" s="966"/>
      <c r="E16" s="967">
        <f t="shared" si="0"/>
        <v>0</v>
      </c>
    </row>
    <row r="17" spans="1:5" ht="15">
      <c r="A17" s="968"/>
      <c r="B17" s="965" t="s">
        <v>218</v>
      </c>
      <c r="C17" s="966"/>
      <c r="D17" s="966"/>
      <c r="E17" s="967">
        <f t="shared" si="0"/>
        <v>0</v>
      </c>
    </row>
    <row r="18" spans="1:5" ht="15">
      <c r="A18" s="968"/>
      <c r="B18" s="969" t="s">
        <v>219</v>
      </c>
      <c r="C18" s="970"/>
      <c r="D18" s="970"/>
      <c r="E18" s="971">
        <f t="shared" si="0"/>
        <v>0</v>
      </c>
    </row>
    <row r="19" spans="1:5" ht="15">
      <c r="A19" s="972"/>
      <c r="B19" s="973" t="s">
        <v>220</v>
      </c>
      <c r="C19" s="974"/>
      <c r="D19" s="974"/>
      <c r="E19" s="975">
        <f t="shared" si="0"/>
        <v>0</v>
      </c>
    </row>
    <row r="20" spans="1:5" ht="15">
      <c r="A20" s="972"/>
      <c r="B20" s="976" t="s">
        <v>221</v>
      </c>
      <c r="C20" s="977"/>
      <c r="D20" s="977"/>
      <c r="E20" s="978"/>
    </row>
    <row r="21" spans="1:5" ht="15">
      <c r="A21" s="960">
        <v>33001</v>
      </c>
      <c r="B21" s="961" t="s">
        <v>222</v>
      </c>
      <c r="C21" s="962">
        <f>SUM(C22:C25)</f>
        <v>0</v>
      </c>
      <c r="D21" s="962">
        <f>SUM(D22:D25)</f>
        <v>0</v>
      </c>
      <c r="E21" s="963">
        <f aca="true" t="shared" si="1" ref="E21:E63">SUM(C21-D21)</f>
        <v>0</v>
      </c>
    </row>
    <row r="22" spans="1:5" ht="15">
      <c r="A22" s="979"/>
      <c r="B22" s="965" t="s">
        <v>216</v>
      </c>
      <c r="C22" s="962"/>
      <c r="D22" s="966"/>
      <c r="E22" s="967">
        <f t="shared" si="1"/>
        <v>0</v>
      </c>
    </row>
    <row r="23" spans="1:5" ht="15">
      <c r="A23" s="980"/>
      <c r="B23" s="965" t="s">
        <v>217</v>
      </c>
      <c r="C23" s="962"/>
      <c r="D23" s="966"/>
      <c r="E23" s="967">
        <f t="shared" si="1"/>
        <v>0</v>
      </c>
    </row>
    <row r="24" spans="1:5" ht="15">
      <c r="A24" s="980"/>
      <c r="B24" s="965" t="s">
        <v>218</v>
      </c>
      <c r="C24" s="962"/>
      <c r="D24" s="966"/>
      <c r="E24" s="967">
        <f t="shared" si="1"/>
        <v>0</v>
      </c>
    </row>
    <row r="25" spans="1:5" ht="15">
      <c r="A25" s="980"/>
      <c r="B25" s="981" t="s">
        <v>219</v>
      </c>
      <c r="C25" s="962"/>
      <c r="D25" s="970"/>
      <c r="E25" s="967">
        <f t="shared" si="1"/>
        <v>0</v>
      </c>
    </row>
    <row r="26" spans="1:5" ht="30.75" customHeight="1">
      <c r="A26" s="982">
        <v>33005</v>
      </c>
      <c r="B26" s="961" t="s">
        <v>223</v>
      </c>
      <c r="C26" s="962">
        <f>SUM(C27:C29)</f>
        <v>0</v>
      </c>
      <c r="D26" s="962">
        <f>SUM(D27:D29)</f>
        <v>0</v>
      </c>
      <c r="E26" s="983">
        <f t="shared" si="1"/>
        <v>0</v>
      </c>
    </row>
    <row r="27" spans="1:5" ht="16.5" customHeight="1">
      <c r="A27" s="984"/>
      <c r="B27" s="965" t="s">
        <v>224</v>
      </c>
      <c r="C27" s="962"/>
      <c r="D27" s="966"/>
      <c r="E27" s="967">
        <f t="shared" si="1"/>
        <v>0</v>
      </c>
    </row>
    <row r="28" spans="1:5" ht="16.5" customHeight="1">
      <c r="A28" s="985"/>
      <c r="B28" s="965" t="s">
        <v>225</v>
      </c>
      <c r="C28" s="962"/>
      <c r="D28" s="966"/>
      <c r="E28" s="967">
        <f t="shared" si="1"/>
        <v>0</v>
      </c>
    </row>
    <row r="29" spans="1:5" ht="15" customHeight="1">
      <c r="A29" s="986"/>
      <c r="B29" s="973" t="s">
        <v>226</v>
      </c>
      <c r="C29" s="962"/>
      <c r="D29" s="974"/>
      <c r="E29" s="975">
        <f t="shared" si="1"/>
        <v>0</v>
      </c>
    </row>
    <row r="30" spans="1:5" ht="15">
      <c r="A30" s="987">
        <v>33014</v>
      </c>
      <c r="B30" s="988" t="s">
        <v>227</v>
      </c>
      <c r="C30" s="962">
        <f>SUM(C31:C32)</f>
        <v>0</v>
      </c>
      <c r="D30" s="962">
        <f>SUM(D31:D32)</f>
        <v>0</v>
      </c>
      <c r="E30" s="963">
        <f t="shared" si="1"/>
        <v>0</v>
      </c>
    </row>
    <row r="31" spans="1:5" ht="15">
      <c r="A31" s="989"/>
      <c r="B31" s="990" t="s">
        <v>228</v>
      </c>
      <c r="C31" s="962"/>
      <c r="D31" s="966"/>
      <c r="E31" s="963">
        <f t="shared" si="1"/>
        <v>0</v>
      </c>
    </row>
    <row r="32" spans="1:5" ht="15">
      <c r="A32" s="989"/>
      <c r="B32" s="991" t="s">
        <v>220</v>
      </c>
      <c r="C32" s="962"/>
      <c r="D32" s="974"/>
      <c r="E32" s="963">
        <f t="shared" si="1"/>
        <v>0</v>
      </c>
    </row>
    <row r="33" spans="1:5" ht="15">
      <c r="A33" s="987">
        <v>33015</v>
      </c>
      <c r="B33" s="976" t="s">
        <v>229</v>
      </c>
      <c r="C33" s="962">
        <f>SUM(C34:C36)</f>
        <v>0</v>
      </c>
      <c r="D33" s="962">
        <f>SUM(D34:D36)</f>
        <v>0</v>
      </c>
      <c r="E33" s="963">
        <f t="shared" si="1"/>
        <v>0</v>
      </c>
    </row>
    <row r="34" spans="1:5" ht="15">
      <c r="A34" s="989"/>
      <c r="B34" s="965" t="s">
        <v>224</v>
      </c>
      <c r="C34" s="992"/>
      <c r="D34" s="966"/>
      <c r="E34" s="963">
        <f t="shared" si="1"/>
        <v>0</v>
      </c>
    </row>
    <row r="35" spans="1:5" ht="15">
      <c r="A35" s="989"/>
      <c r="B35" s="965" t="s">
        <v>225</v>
      </c>
      <c r="C35" s="992"/>
      <c r="D35" s="966"/>
      <c r="E35" s="963">
        <f t="shared" si="1"/>
        <v>0</v>
      </c>
    </row>
    <row r="36" spans="1:5" ht="15">
      <c r="A36" s="989"/>
      <c r="B36" s="973" t="s">
        <v>226</v>
      </c>
      <c r="C36" s="992"/>
      <c r="D36" s="966"/>
      <c r="E36" s="963">
        <f t="shared" si="1"/>
        <v>0</v>
      </c>
    </row>
    <row r="37" spans="1:5" ht="15">
      <c r="A37" s="987">
        <v>33016</v>
      </c>
      <c r="B37" s="993" t="s">
        <v>230</v>
      </c>
      <c r="C37" s="962">
        <f>SUM(C38:C40)</f>
        <v>0</v>
      </c>
      <c r="D37" s="962">
        <f>SUM(D38:D40)</f>
        <v>0</v>
      </c>
      <c r="E37" s="963">
        <f t="shared" si="1"/>
        <v>0</v>
      </c>
    </row>
    <row r="38" spans="1:5" ht="15">
      <c r="A38" s="989"/>
      <c r="B38" s="965" t="s">
        <v>224</v>
      </c>
      <c r="C38" s="966"/>
      <c r="D38" s="966"/>
      <c r="E38" s="963">
        <f t="shared" si="1"/>
        <v>0</v>
      </c>
    </row>
    <row r="39" spans="1:5" ht="15">
      <c r="A39" s="989"/>
      <c r="B39" s="965" t="s">
        <v>225</v>
      </c>
      <c r="C39" s="966"/>
      <c r="D39" s="966"/>
      <c r="E39" s="963">
        <f t="shared" si="1"/>
        <v>0</v>
      </c>
    </row>
    <row r="40" spans="1:5" ht="15">
      <c r="A40" s="989"/>
      <c r="B40" s="973" t="s">
        <v>226</v>
      </c>
      <c r="C40" s="966"/>
      <c r="D40" s="966"/>
      <c r="E40" s="963">
        <f t="shared" si="1"/>
        <v>0</v>
      </c>
    </row>
    <row r="41" spans="1:5" ht="15">
      <c r="A41" s="987">
        <v>33017</v>
      </c>
      <c r="B41" s="988" t="s">
        <v>231</v>
      </c>
      <c r="C41" s="962"/>
      <c r="D41" s="962"/>
      <c r="E41" s="963">
        <f t="shared" si="1"/>
        <v>0</v>
      </c>
    </row>
    <row r="42" spans="1:5" ht="15">
      <c r="A42" s="987">
        <v>33018</v>
      </c>
      <c r="B42" s="994" t="s">
        <v>232</v>
      </c>
      <c r="C42" s="962"/>
      <c r="D42" s="962"/>
      <c r="E42" s="963">
        <f t="shared" si="1"/>
        <v>0</v>
      </c>
    </row>
    <row r="43" spans="1:5" ht="15">
      <c r="A43" s="995">
        <v>33122</v>
      </c>
      <c r="B43" s="996" t="s">
        <v>233</v>
      </c>
      <c r="C43" s="962">
        <f>SUM(C44:C45)</f>
        <v>0</v>
      </c>
      <c r="D43" s="962">
        <f>SUM(D44:D45)</f>
        <v>0</v>
      </c>
      <c r="E43" s="963">
        <f t="shared" si="1"/>
        <v>0</v>
      </c>
    </row>
    <row r="44" spans="1:5" ht="15">
      <c r="A44" s="964"/>
      <c r="B44" s="965" t="s">
        <v>234</v>
      </c>
      <c r="C44" s="966"/>
      <c r="D44" s="966"/>
      <c r="E44" s="967">
        <f t="shared" si="1"/>
        <v>0</v>
      </c>
    </row>
    <row r="45" spans="1:5" ht="15">
      <c r="A45" s="972"/>
      <c r="B45" s="973" t="s">
        <v>220</v>
      </c>
      <c r="C45" s="974"/>
      <c r="D45" s="974"/>
      <c r="E45" s="975">
        <f t="shared" si="1"/>
        <v>0</v>
      </c>
    </row>
    <row r="46" spans="1:5" ht="15">
      <c r="A46" s="995">
        <v>33160</v>
      </c>
      <c r="B46" s="996" t="s">
        <v>235</v>
      </c>
      <c r="C46" s="962"/>
      <c r="D46" s="962"/>
      <c r="E46" s="997">
        <f t="shared" si="1"/>
        <v>0</v>
      </c>
    </row>
    <row r="47" spans="1:5" ht="15">
      <c r="A47" s="995">
        <v>33163</v>
      </c>
      <c r="B47" s="996" t="s">
        <v>236</v>
      </c>
      <c r="C47" s="962">
        <f>SUM(C48:C49)</f>
        <v>0</v>
      </c>
      <c r="D47" s="962">
        <f>SUM(D48:D49)</f>
        <v>0</v>
      </c>
      <c r="E47" s="963">
        <f t="shared" si="1"/>
        <v>0</v>
      </c>
    </row>
    <row r="48" spans="1:5" ht="15">
      <c r="A48" s="964"/>
      <c r="B48" s="965" t="s">
        <v>234</v>
      </c>
      <c r="C48" s="966"/>
      <c r="D48" s="966"/>
      <c r="E48" s="967">
        <f t="shared" si="1"/>
        <v>0</v>
      </c>
    </row>
    <row r="49" spans="1:5" ht="15">
      <c r="A49" s="972"/>
      <c r="B49" s="973" t="s">
        <v>220</v>
      </c>
      <c r="C49" s="974"/>
      <c r="D49" s="974"/>
      <c r="E49" s="975">
        <f t="shared" si="1"/>
        <v>0</v>
      </c>
    </row>
    <row r="50" spans="1:5" ht="15">
      <c r="A50" s="995">
        <v>33166</v>
      </c>
      <c r="B50" s="996" t="s">
        <v>237</v>
      </c>
      <c r="C50" s="962">
        <f>SUM(C51:C52)</f>
        <v>0</v>
      </c>
      <c r="D50" s="962">
        <f>SUM(D51:D52)</f>
        <v>0</v>
      </c>
      <c r="E50" s="963">
        <f t="shared" si="1"/>
        <v>0</v>
      </c>
    </row>
    <row r="51" spans="1:5" ht="15">
      <c r="A51" s="964"/>
      <c r="B51" s="965" t="s">
        <v>234</v>
      </c>
      <c r="C51" s="966"/>
      <c r="D51" s="966"/>
      <c r="E51" s="967">
        <f t="shared" si="1"/>
        <v>0</v>
      </c>
    </row>
    <row r="52" spans="1:5" ht="15">
      <c r="A52" s="972"/>
      <c r="B52" s="973" t="s">
        <v>220</v>
      </c>
      <c r="C52" s="974"/>
      <c r="D52" s="974"/>
      <c r="E52" s="975">
        <f t="shared" si="1"/>
        <v>0</v>
      </c>
    </row>
    <row r="53" spans="1:5" ht="29.25">
      <c r="A53" s="998">
        <v>33457</v>
      </c>
      <c r="B53" s="961" t="s">
        <v>238</v>
      </c>
      <c r="C53" s="962">
        <f>SUM(C54:C56)</f>
        <v>0</v>
      </c>
      <c r="D53" s="962">
        <f>SUM(D54:D56)</f>
        <v>0</v>
      </c>
      <c r="E53" s="963">
        <f t="shared" si="1"/>
        <v>0</v>
      </c>
    </row>
    <row r="54" spans="1:5" ht="15">
      <c r="A54" s="999"/>
      <c r="B54" s="965" t="s">
        <v>224</v>
      </c>
      <c r="C54" s="966"/>
      <c r="D54" s="966"/>
      <c r="E54" s="967">
        <f t="shared" si="1"/>
        <v>0</v>
      </c>
    </row>
    <row r="55" spans="1:5" ht="15">
      <c r="A55" s="1000"/>
      <c r="B55" s="965" t="s">
        <v>225</v>
      </c>
      <c r="C55" s="966"/>
      <c r="D55" s="966"/>
      <c r="E55" s="967">
        <f t="shared" si="1"/>
        <v>0</v>
      </c>
    </row>
    <row r="56" spans="1:5" ht="15">
      <c r="A56" s="1001"/>
      <c r="B56" s="973" t="s">
        <v>226</v>
      </c>
      <c r="C56" s="974"/>
      <c r="D56" s="974"/>
      <c r="E56" s="975">
        <f t="shared" si="1"/>
        <v>0</v>
      </c>
    </row>
    <row r="57" spans="1:5" ht="15">
      <c r="A57" s="1002">
        <v>33487</v>
      </c>
      <c r="B57" s="961" t="s">
        <v>239</v>
      </c>
      <c r="C57" s="962"/>
      <c r="D57" s="962"/>
      <c r="E57" s="983">
        <f t="shared" si="1"/>
        <v>0</v>
      </c>
    </row>
    <row r="58" spans="1:5" ht="15">
      <c r="A58" s="1003"/>
      <c r="B58" s="1004" t="s">
        <v>240</v>
      </c>
      <c r="C58" s="1005">
        <f>SUM(C59:C62)</f>
        <v>7500</v>
      </c>
      <c r="D58" s="1005">
        <f>SUM(D59:D62)</f>
        <v>0</v>
      </c>
      <c r="E58" s="983">
        <f t="shared" si="1"/>
        <v>7500</v>
      </c>
    </row>
    <row r="59" spans="1:5" ht="15">
      <c r="A59" s="1006" t="s">
        <v>241</v>
      </c>
      <c r="B59" s="961" t="s">
        <v>242</v>
      </c>
      <c r="C59" s="962"/>
      <c r="D59" s="962"/>
      <c r="E59" s="983">
        <f t="shared" si="1"/>
        <v>0</v>
      </c>
    </row>
    <row r="60" spans="1:5" ht="15">
      <c r="A60" s="1006" t="s">
        <v>243</v>
      </c>
      <c r="B60" s="961" t="s">
        <v>242</v>
      </c>
      <c r="C60" s="962"/>
      <c r="D60" s="962"/>
      <c r="E60" s="983">
        <f t="shared" si="1"/>
        <v>0</v>
      </c>
    </row>
    <row r="61" spans="1:5" ht="15">
      <c r="A61" s="1006" t="s">
        <v>244</v>
      </c>
      <c r="B61" s="961" t="s">
        <v>245</v>
      </c>
      <c r="C61" s="962">
        <v>7500</v>
      </c>
      <c r="D61" s="962">
        <v>0</v>
      </c>
      <c r="E61" s="983">
        <f t="shared" si="1"/>
        <v>7500</v>
      </c>
    </row>
    <row r="62" spans="1:5" ht="15.75" thickBot="1">
      <c r="A62" s="1007" t="s">
        <v>246</v>
      </c>
      <c r="B62" s="1008" t="s">
        <v>247</v>
      </c>
      <c r="C62" s="1009"/>
      <c r="D62" s="1009"/>
      <c r="E62" s="1010">
        <f t="shared" si="1"/>
        <v>0</v>
      </c>
    </row>
    <row r="63" spans="1:5" ht="15.75" thickBot="1">
      <c r="A63" s="1011"/>
      <c r="B63" s="1012" t="s">
        <v>248</v>
      </c>
      <c r="C63" s="1013">
        <f>SUM(C64:C65)</f>
        <v>0</v>
      </c>
      <c r="D63" s="1013">
        <f>SUM(D64:D65)</f>
        <v>0</v>
      </c>
      <c r="E63" s="1013">
        <f t="shared" si="1"/>
        <v>0</v>
      </c>
    </row>
    <row r="64" spans="1:5" ht="14.25">
      <c r="A64" s="968"/>
      <c r="B64" s="1014" t="s">
        <v>214</v>
      </c>
      <c r="C64" s="977"/>
      <c r="D64" s="977"/>
      <c r="E64" s="1015"/>
    </row>
    <row r="65" spans="1:5" ht="15.75" thickBot="1">
      <c r="A65" s="1016"/>
      <c r="B65" s="1017"/>
      <c r="C65" s="1009"/>
      <c r="D65" s="1009"/>
      <c r="E65" s="1010">
        <f>SUM(C65-D65)</f>
        <v>0</v>
      </c>
    </row>
    <row r="66" spans="1:5" ht="30.75" thickBot="1">
      <c r="A66" s="1011"/>
      <c r="B66" s="1012" t="s">
        <v>249</v>
      </c>
      <c r="C66" s="1013">
        <f>SUM(C12+C63)</f>
        <v>0</v>
      </c>
      <c r="D66" s="1013">
        <f>SUM(D12+D63)</f>
        <v>0</v>
      </c>
      <c r="E66" s="1013">
        <f>SUM(E12+E63)</f>
        <v>0</v>
      </c>
    </row>
    <row r="67" spans="1:5" ht="14.25">
      <c r="A67" s="839"/>
      <c r="B67" s="839"/>
      <c r="C67" s="839"/>
      <c r="D67" s="839"/>
      <c r="E67" s="839"/>
    </row>
    <row r="68" spans="1:5" ht="14.25">
      <c r="A68" s="839" t="s">
        <v>250</v>
      </c>
      <c r="B68" s="839"/>
      <c r="C68" s="839"/>
      <c r="D68" s="839"/>
      <c r="E68" s="839"/>
    </row>
    <row r="69" spans="1:5" ht="14.25">
      <c r="A69" s="839" t="s">
        <v>251</v>
      </c>
      <c r="B69" s="839"/>
      <c r="C69" s="839"/>
      <c r="D69" s="839"/>
      <c r="E69" s="839"/>
    </row>
    <row r="70" spans="1:5" ht="14.25">
      <c r="A70" s="839" t="s">
        <v>252</v>
      </c>
      <c r="B70" s="839"/>
      <c r="C70" s="839"/>
      <c r="D70" s="839"/>
      <c r="E70" s="839"/>
    </row>
    <row r="71" spans="1:5" ht="14.25">
      <c r="A71" s="839" t="s">
        <v>253</v>
      </c>
      <c r="B71" s="839"/>
      <c r="C71" s="839"/>
      <c r="D71" s="839"/>
      <c r="E71" s="839"/>
    </row>
    <row r="72" spans="1:5" ht="14.25">
      <c r="A72" s="839"/>
      <c r="B72" s="839"/>
      <c r="C72" s="839"/>
      <c r="D72" s="839"/>
      <c r="E72" s="839"/>
    </row>
    <row r="73" spans="1:4" ht="14.25">
      <c r="A73" s="839" t="s">
        <v>254</v>
      </c>
      <c r="B73" s="839" t="s">
        <v>255</v>
      </c>
      <c r="C73" s="839" t="s">
        <v>256</v>
      </c>
      <c r="D73" s="839" t="s">
        <v>303</v>
      </c>
    </row>
    <row r="74" spans="1:4" ht="14.25">
      <c r="A74" s="839" t="s">
        <v>257</v>
      </c>
      <c r="B74" s="1018" t="s">
        <v>258</v>
      </c>
      <c r="C74" s="839" t="s">
        <v>259</v>
      </c>
      <c r="D74" s="1018" t="s">
        <v>258</v>
      </c>
    </row>
    <row r="75" spans="1:5" ht="14.25">
      <c r="A75" s="839" t="s">
        <v>260</v>
      </c>
      <c r="B75" s="1019">
        <v>585513325</v>
      </c>
      <c r="C75" s="839"/>
      <c r="D75" s="839"/>
      <c r="E75" s="839"/>
    </row>
  </sheetData>
  <mergeCells count="4">
    <mergeCell ref="B8:E8"/>
    <mergeCell ref="A5:E5"/>
    <mergeCell ref="A6:E6"/>
    <mergeCell ref="A7:E7"/>
  </mergeCells>
  <printOptions horizontalCentered="1"/>
  <pageMargins left="0.1968503937007874" right="0.1968503937007874" top="0.49" bottom="0.2362204724409449" header="0.97" footer="0.5118110236220472"/>
  <pageSetup horizontalDpi="300" verticalDpi="300" orientation="portrait" paperSize="9" scale="65" r:id="rId1"/>
  <headerFooter alignWithMargins="0">
    <oddFooter>&amp;C16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40" sqref="D40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180"/>
      <c r="H2" s="1180"/>
    </row>
    <row r="3" spans="1:8" ht="12.75">
      <c r="A3" s="911" t="s">
        <v>550</v>
      </c>
      <c r="B3" s="1025"/>
      <c r="C3" s="1025" t="s">
        <v>288</v>
      </c>
      <c r="G3" s="1180" t="s">
        <v>551</v>
      </c>
      <c r="H3" s="1180"/>
    </row>
    <row r="4" spans="1:8" ht="14.25">
      <c r="A4" s="911" t="s">
        <v>490</v>
      </c>
      <c r="C4" s="1025" t="s">
        <v>896</v>
      </c>
      <c r="G4" s="1212"/>
      <c r="H4" s="1212"/>
    </row>
    <row r="5" spans="1:8" ht="12.75">
      <c r="A5" s="911" t="s">
        <v>552</v>
      </c>
      <c r="C5" s="1025" t="s">
        <v>553</v>
      </c>
      <c r="G5" s="1212" t="s">
        <v>554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0</v>
      </c>
      <c r="E15" s="1038">
        <f>SUM(E17:E21)</f>
        <v>0</v>
      </c>
      <c r="F15" s="1039">
        <f>SUM(F17:F21)</f>
        <v>0</v>
      </c>
      <c r="G15" s="1038">
        <f>SUM(G17:G21)</f>
        <v>0</v>
      </c>
      <c r="H15" s="1038">
        <f>SUM(H17:H21)</f>
        <v>0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41"/>
      <c r="C17" s="1045" t="s">
        <v>564</v>
      </c>
      <c r="D17" s="1043">
        <v>0</v>
      </c>
      <c r="E17" s="1043">
        <v>0</v>
      </c>
      <c r="F17" s="1043">
        <v>0</v>
      </c>
      <c r="G17" s="1043">
        <v>0</v>
      </c>
      <c r="H17" s="1043">
        <f>D17-F17-G17</f>
        <v>0</v>
      </c>
    </row>
    <row r="18" spans="1:8" ht="12.75">
      <c r="A18" s="1040"/>
      <c r="B18" s="1041"/>
      <c r="C18" s="1046"/>
      <c r="D18" s="1043"/>
      <c r="E18" s="1043"/>
      <c r="F18" s="1043"/>
      <c r="G18" s="1043"/>
      <c r="H18" s="1043"/>
    </row>
    <row r="19" spans="1:8" ht="12.75">
      <c r="A19" s="1040"/>
      <c r="B19" s="1041"/>
      <c r="C19" s="1046"/>
      <c r="D19" s="1043"/>
      <c r="E19" s="1043"/>
      <c r="F19" s="1043"/>
      <c r="G19" s="1043"/>
      <c r="H19" s="1043"/>
    </row>
    <row r="20" spans="1:8" ht="12.75">
      <c r="A20" s="1040"/>
      <c r="B20" s="1041"/>
      <c r="C20" s="1046"/>
      <c r="D20" s="1043"/>
      <c r="E20" s="1043"/>
      <c r="F20" s="1043"/>
      <c r="G20" s="1043"/>
      <c r="H20" s="1043"/>
    </row>
    <row r="21" spans="1:8" ht="13.5" thickBot="1">
      <c r="A21" s="1040"/>
      <c r="B21" s="1041"/>
      <c r="C21" s="1047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2000000</v>
      </c>
      <c r="E22" s="1038">
        <f>SUM(E24:E26)</f>
        <v>2000000</v>
      </c>
      <c r="F22" s="1038">
        <f>SUM(F24:F26)</f>
        <v>0</v>
      </c>
      <c r="G22" s="1038">
        <f>SUM(G24:G26)</f>
        <v>2000000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50">
        <v>97572</v>
      </c>
      <c r="C24" s="1046" t="s">
        <v>565</v>
      </c>
      <c r="D24" s="1043">
        <v>2000000</v>
      </c>
      <c r="E24" s="1043">
        <v>2000000</v>
      </c>
      <c r="F24" s="1043">
        <v>0</v>
      </c>
      <c r="G24" s="1043">
        <v>2000000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2000000</v>
      </c>
      <c r="E32" s="1048">
        <f>E15+E22+E27</f>
        <v>2000000</v>
      </c>
      <c r="F32" s="1048">
        <f>F15+F22+F27</f>
        <v>0</v>
      </c>
      <c r="G32" s="1048">
        <f>G15+G22+G27</f>
        <v>2000000</v>
      </c>
      <c r="H32" s="1048">
        <f>H15+H22+H27</f>
        <v>0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178" t="s">
        <v>258</v>
      </c>
      <c r="C48" s="1179"/>
      <c r="F48" s="911" t="s">
        <v>257</v>
      </c>
      <c r="G48" s="1020" t="s">
        <v>258</v>
      </c>
    </row>
  </sheetData>
  <mergeCells count="10">
    <mergeCell ref="B48:C48"/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3">
      <selection activeCell="D50" sqref="D50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180"/>
      <c r="H2" s="1180"/>
    </row>
    <row r="3" spans="1:8" ht="12.75">
      <c r="A3" s="911" t="s">
        <v>550</v>
      </c>
      <c r="B3" s="1025"/>
      <c r="C3" s="1025" t="s">
        <v>288</v>
      </c>
      <c r="G3" s="1180" t="s">
        <v>551</v>
      </c>
      <c r="H3" s="1180"/>
    </row>
    <row r="4" spans="1:8" ht="12.75">
      <c r="A4" s="911" t="s">
        <v>496</v>
      </c>
      <c r="C4" s="1025" t="s">
        <v>896</v>
      </c>
      <c r="G4" s="1212"/>
      <c r="H4" s="1212"/>
    </row>
    <row r="5" spans="1:8" ht="12.75">
      <c r="A5" s="911" t="s">
        <v>552</v>
      </c>
      <c r="C5" s="1025" t="s">
        <v>497</v>
      </c>
      <c r="G5" s="1212" t="s">
        <v>554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30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SUM(D17:D20)</f>
        <v>16430362.5</v>
      </c>
      <c r="E15" s="1038">
        <f>SUM(E17:E20)</f>
        <v>16430362.5</v>
      </c>
      <c r="F15" s="1039">
        <f>SUM(F17:F20)</f>
        <v>0</v>
      </c>
      <c r="G15" s="1038">
        <f>SUM(G17:G20)</f>
        <v>17622905.580000002</v>
      </c>
      <c r="H15" s="1038">
        <f>SUM(H17:H20)</f>
        <v>-1192543.08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50">
        <v>98116</v>
      </c>
      <c r="C17" s="1045" t="s">
        <v>498</v>
      </c>
      <c r="D17" s="1043">
        <v>2414192</v>
      </c>
      <c r="E17" s="1043">
        <v>2414192</v>
      </c>
      <c r="F17" s="1043">
        <v>0</v>
      </c>
      <c r="G17" s="1043">
        <v>2414191.64</v>
      </c>
      <c r="H17" s="1043">
        <f>D17-F17-G17</f>
        <v>0.35999999986961484</v>
      </c>
    </row>
    <row r="18" spans="1:8" ht="12.75">
      <c r="A18" s="1040"/>
      <c r="B18" s="1050">
        <v>98216</v>
      </c>
      <c r="C18" s="1046" t="s">
        <v>499</v>
      </c>
      <c r="D18" s="1043">
        <v>10996062</v>
      </c>
      <c r="E18" s="1043">
        <v>10996062</v>
      </c>
      <c r="F18" s="1043">
        <v>0</v>
      </c>
      <c r="G18" s="1043">
        <v>10996062</v>
      </c>
      <c r="H18" s="1043">
        <f>D18-F18-G18</f>
        <v>0</v>
      </c>
    </row>
    <row r="19" spans="1:8" ht="12.75">
      <c r="A19" s="1040"/>
      <c r="B19" s="1050">
        <v>98348</v>
      </c>
      <c r="C19" s="1046" t="s">
        <v>500</v>
      </c>
      <c r="D19" s="1043">
        <v>2217000</v>
      </c>
      <c r="E19" s="1043">
        <v>2217000</v>
      </c>
      <c r="F19" s="1043">
        <v>0</v>
      </c>
      <c r="G19" s="1043">
        <v>3409543.44</v>
      </c>
      <c r="H19" s="1043">
        <f>D19-F19-G19</f>
        <v>-1192543.44</v>
      </c>
    </row>
    <row r="20" spans="1:8" ht="13.5" thickBot="1">
      <c r="A20" s="1040"/>
      <c r="B20" s="1050">
        <v>98071</v>
      </c>
      <c r="C20" s="1047" t="s">
        <v>501</v>
      </c>
      <c r="D20" s="1048">
        <v>803108.5</v>
      </c>
      <c r="E20" s="1048">
        <v>803108.5</v>
      </c>
      <c r="F20" s="1048">
        <v>0</v>
      </c>
      <c r="G20" s="1048">
        <v>803108.5</v>
      </c>
      <c r="H20" s="1048">
        <f>D20-F20-G20</f>
        <v>0</v>
      </c>
    </row>
    <row r="21" spans="1:8" ht="13.5" thickBot="1">
      <c r="A21" s="1035"/>
      <c r="B21" s="1032"/>
      <c r="C21" s="1049" t="s">
        <v>493</v>
      </c>
      <c r="D21" s="1038">
        <f>SUM(D23:D24)</f>
        <v>8773000</v>
      </c>
      <c r="E21" s="1038">
        <f>SUM(E23:E24)</f>
        <v>8773000</v>
      </c>
      <c r="F21" s="1038">
        <f>SUM(F23:F24)</f>
        <v>0</v>
      </c>
      <c r="G21" s="1038">
        <f>SUM(G23:G24)</f>
        <v>8773000</v>
      </c>
      <c r="H21" s="1038">
        <f>SUM(H23:H24)</f>
        <v>0</v>
      </c>
    </row>
    <row r="22" spans="1:8" ht="12.75">
      <c r="A22" s="1040"/>
      <c r="B22" s="1041"/>
      <c r="C22" s="1042" t="s">
        <v>214</v>
      </c>
      <c r="D22" s="1043"/>
      <c r="E22" s="1043"/>
      <c r="F22" s="1043"/>
      <c r="G22" s="1043"/>
      <c r="H22" s="1043"/>
    </row>
    <row r="23" spans="1:8" ht="12.75">
      <c r="A23" s="1040"/>
      <c r="B23" s="1050">
        <v>98069</v>
      </c>
      <c r="C23" s="1046" t="s">
        <v>502</v>
      </c>
      <c r="D23" s="1043">
        <v>8773000</v>
      </c>
      <c r="E23" s="1043">
        <v>8773000</v>
      </c>
      <c r="F23" s="1043">
        <v>0</v>
      </c>
      <c r="G23" s="1043">
        <v>8773000</v>
      </c>
      <c r="H23" s="1043">
        <f>D23-F23-G23</f>
        <v>0</v>
      </c>
    </row>
    <row r="24" spans="1:8" ht="13.5" thickBot="1">
      <c r="A24" s="1051"/>
      <c r="B24" s="1052"/>
      <c r="C24" s="1046"/>
      <c r="D24" s="1043"/>
      <c r="E24" s="1043"/>
      <c r="F24" s="1043"/>
      <c r="G24" s="1043"/>
      <c r="H24" s="1048"/>
    </row>
    <row r="25" spans="1:8" ht="13.5" thickBot="1">
      <c r="A25" s="1035"/>
      <c r="B25" s="1032"/>
      <c r="C25" s="1049" t="s">
        <v>494</v>
      </c>
      <c r="D25" s="1038">
        <f>SUM(D27:D28)</f>
        <v>0</v>
      </c>
      <c r="E25" s="1038">
        <f>SUM(E27:E28)</f>
        <v>0</v>
      </c>
      <c r="F25" s="1038">
        <f>SUM(F27:F28)</f>
        <v>0</v>
      </c>
      <c r="G25" s="1038">
        <f>SUM(G27:G28)</f>
        <v>0</v>
      </c>
      <c r="H25" s="1038">
        <f>SUM(H27:H28)</f>
        <v>0</v>
      </c>
    </row>
    <row r="26" spans="1:8" ht="12.75">
      <c r="A26" s="1040"/>
      <c r="B26" s="1052"/>
      <c r="C26" s="1045" t="s">
        <v>214</v>
      </c>
      <c r="D26" s="1043"/>
      <c r="E26" s="1043"/>
      <c r="F26" s="1043"/>
      <c r="G26" s="1043"/>
      <c r="H26" s="1043"/>
    </row>
    <row r="27" spans="1:8" ht="12.75">
      <c r="A27" s="1040"/>
      <c r="B27" s="1052"/>
      <c r="C27" s="1045" t="s">
        <v>566</v>
      </c>
      <c r="D27" s="1043">
        <v>0</v>
      </c>
      <c r="E27" s="1043">
        <v>0</v>
      </c>
      <c r="F27" s="1043">
        <v>0</v>
      </c>
      <c r="G27" s="1043">
        <v>0</v>
      </c>
      <c r="H27" s="1043">
        <f>D27-F27-G27</f>
        <v>0</v>
      </c>
    </row>
    <row r="28" spans="1:8" ht="13.5" thickBot="1">
      <c r="A28" s="1051"/>
      <c r="B28" s="1052"/>
      <c r="C28" s="1047"/>
      <c r="D28" s="1048"/>
      <c r="E28" s="1048"/>
      <c r="F28" s="1048"/>
      <c r="G28" s="1048"/>
      <c r="H28" s="1048"/>
    </row>
    <row r="29" spans="1:8" ht="26.25" thickBot="1">
      <c r="A29" s="1053"/>
      <c r="B29" s="1032"/>
      <c r="C29" s="1054" t="s">
        <v>567</v>
      </c>
      <c r="D29" s="1048">
        <f>D15+D21+D25</f>
        <v>25203362.5</v>
      </c>
      <c r="E29" s="1048">
        <f>E15+E21+E25</f>
        <v>25203362.5</v>
      </c>
      <c r="F29" s="1048">
        <f>F15+F21+F25</f>
        <v>0</v>
      </c>
      <c r="G29" s="1048">
        <f>G15+G21+G25</f>
        <v>26395905.580000002</v>
      </c>
      <c r="H29" s="1048">
        <f>H15+H21+H25</f>
        <v>-1192543.08</v>
      </c>
    </row>
    <row r="30" spans="1:8" ht="12.75">
      <c r="A30" s="1055"/>
      <c r="B30" s="1056"/>
      <c r="C30" s="1057"/>
      <c r="D30" s="1055"/>
      <c r="E30" s="1055"/>
      <c r="F30" s="1055"/>
      <c r="G30" s="1055"/>
      <c r="H30" s="1055"/>
    </row>
    <row r="31" ht="12.75">
      <c r="A31" s="879" t="s">
        <v>250</v>
      </c>
    </row>
    <row r="32" spans="1:8" ht="13.5">
      <c r="A32" s="1058" t="s">
        <v>495</v>
      </c>
      <c r="C32" s="879"/>
      <c r="D32" s="54"/>
      <c r="E32" s="54"/>
      <c r="F32" s="54"/>
      <c r="G32" s="54"/>
      <c r="H32" s="54"/>
    </row>
    <row r="33" spans="1:8" ht="12.75">
      <c r="A33" s="879" t="s">
        <v>568</v>
      </c>
      <c r="C33" s="879"/>
      <c r="D33" s="54"/>
      <c r="E33" s="54"/>
      <c r="F33" s="54"/>
      <c r="G33" s="54"/>
      <c r="H33" s="54"/>
    </row>
    <row r="34" spans="1:8" ht="12.75">
      <c r="A34" s="1059" t="s">
        <v>569</v>
      </c>
      <c r="C34" s="879"/>
      <c r="D34" s="54"/>
      <c r="E34" s="54"/>
      <c r="F34" s="54"/>
      <c r="G34" s="54"/>
      <c r="H34" s="54"/>
    </row>
    <row r="35" ht="12.75">
      <c r="A35" s="879" t="s">
        <v>570</v>
      </c>
    </row>
    <row r="36" spans="1:3" ht="12.75">
      <c r="A36" s="1060" t="s">
        <v>484</v>
      </c>
      <c r="C36" s="879"/>
    </row>
    <row r="37" spans="1:7" ht="12.75">
      <c r="A37" s="1059" t="s">
        <v>485</v>
      </c>
      <c r="B37" s="54"/>
      <c r="C37" s="1059"/>
      <c r="D37" s="54"/>
      <c r="E37" s="54"/>
      <c r="F37" s="54"/>
      <c r="G37" s="54"/>
    </row>
    <row r="38" spans="1:3" ht="12.75">
      <c r="A38" s="1059" t="s">
        <v>486</v>
      </c>
      <c r="B38" s="54"/>
      <c r="C38" s="1059"/>
    </row>
    <row r="39" spans="1:3" ht="12.75">
      <c r="A39" s="879" t="s">
        <v>487</v>
      </c>
      <c r="C39" s="879"/>
    </row>
    <row r="40" spans="1:3" ht="12.75">
      <c r="A40" s="879" t="s">
        <v>488</v>
      </c>
      <c r="C40" s="879"/>
    </row>
    <row r="41" spans="1:3" ht="12.75">
      <c r="A41"/>
      <c r="C41" s="879"/>
    </row>
    <row r="42" spans="1:3" ht="12.75">
      <c r="A42" s="1061" t="s">
        <v>489</v>
      </c>
      <c r="C42" s="879"/>
    </row>
    <row r="44" spans="1:7" ht="12.75">
      <c r="A44" s="911" t="s">
        <v>254</v>
      </c>
      <c r="B44" s="911" t="s">
        <v>255</v>
      </c>
      <c r="F44" s="911" t="s">
        <v>256</v>
      </c>
      <c r="G44" s="911" t="s">
        <v>303</v>
      </c>
    </row>
    <row r="45" spans="1:7" ht="12.75">
      <c r="A45" s="911" t="s">
        <v>257</v>
      </c>
      <c r="B45" s="1178" t="s">
        <v>258</v>
      </c>
      <c r="C45" s="1178"/>
      <c r="F45" s="911" t="s">
        <v>257</v>
      </c>
      <c r="G45" s="1062" t="s">
        <v>258</v>
      </c>
    </row>
  </sheetData>
  <mergeCells count="10">
    <mergeCell ref="B45:C45"/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D66" sqref="D66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180"/>
      <c r="H2" s="1180"/>
    </row>
    <row r="3" spans="1:8" ht="12.75">
      <c r="A3" s="911" t="s">
        <v>550</v>
      </c>
      <c r="C3" s="1025" t="s">
        <v>288</v>
      </c>
      <c r="G3" s="1180" t="s">
        <v>551</v>
      </c>
      <c r="H3" s="1180"/>
    </row>
    <row r="4" spans="1:8" ht="12.75">
      <c r="A4" s="911" t="s">
        <v>496</v>
      </c>
      <c r="C4" s="1025" t="s">
        <v>896</v>
      </c>
      <c r="G4" s="1212"/>
      <c r="H4" s="1212"/>
    </row>
    <row r="5" spans="1:8" ht="12.75">
      <c r="A5" s="911" t="s">
        <v>552</v>
      </c>
      <c r="C5" s="1025" t="s">
        <v>503</v>
      </c>
      <c r="G5" s="1212" t="s">
        <v>504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5205000</v>
      </c>
      <c r="E15" s="1038">
        <f>SUM(E17:E21)</f>
        <v>5205000</v>
      </c>
      <c r="F15" s="1039">
        <f>SUM(F17:F21)</f>
        <v>0</v>
      </c>
      <c r="G15" s="1038">
        <f>SUM(G17:G21)</f>
        <v>5205000</v>
      </c>
      <c r="H15" s="1038">
        <f>SUM(H17:H21)</f>
        <v>0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50">
        <v>34053</v>
      </c>
      <c r="C17" s="1046" t="s">
        <v>505</v>
      </c>
      <c r="D17" s="1043">
        <v>50000</v>
      </c>
      <c r="E17" s="1043">
        <v>50000</v>
      </c>
      <c r="F17" s="1043">
        <v>0</v>
      </c>
      <c r="G17" s="1043">
        <v>50000</v>
      </c>
      <c r="H17" s="1043">
        <f>D17-F17-G17</f>
        <v>0</v>
      </c>
    </row>
    <row r="18" spans="1:8" ht="12.75">
      <c r="A18" s="1040"/>
      <c r="B18" s="1050">
        <v>34352</v>
      </c>
      <c r="C18" s="911" t="s">
        <v>506</v>
      </c>
      <c r="D18" s="1043">
        <v>2000000</v>
      </c>
      <c r="E18" s="1043">
        <v>2000000</v>
      </c>
      <c r="F18" s="1043">
        <v>0</v>
      </c>
      <c r="G18" s="1043">
        <v>2000000</v>
      </c>
      <c r="H18" s="1043">
        <f>D18-F18-G18</f>
        <v>0</v>
      </c>
    </row>
    <row r="19" spans="1:8" ht="12.75">
      <c r="A19" s="1040"/>
      <c r="B19" s="1050">
        <v>34352</v>
      </c>
      <c r="C19" s="911" t="s">
        <v>770</v>
      </c>
      <c r="D19" s="1043">
        <v>745000</v>
      </c>
      <c r="E19" s="1043">
        <v>745000</v>
      </c>
      <c r="F19" s="1043">
        <v>0</v>
      </c>
      <c r="G19" s="1043">
        <v>745000</v>
      </c>
      <c r="H19" s="1043">
        <f>D19-F19-G19</f>
        <v>0</v>
      </c>
    </row>
    <row r="20" spans="1:8" ht="12.75">
      <c r="A20" s="1040"/>
      <c r="B20" s="1063">
        <v>34352</v>
      </c>
      <c r="C20" s="911" t="s">
        <v>506</v>
      </c>
      <c r="D20" s="1043">
        <v>2410000</v>
      </c>
      <c r="E20" s="1043">
        <v>2410000</v>
      </c>
      <c r="F20" s="1043">
        <v>0</v>
      </c>
      <c r="G20" s="1043">
        <v>2410000</v>
      </c>
      <c r="H20" s="1043">
        <f>D20-F20-G20</f>
        <v>0</v>
      </c>
    </row>
    <row r="21" spans="1:8" ht="13.5" thickBot="1">
      <c r="A21" s="1040"/>
      <c r="C21" s="1046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0</v>
      </c>
      <c r="E22" s="1038">
        <f>SUM(E24:E26)</f>
        <v>0</v>
      </c>
      <c r="F22" s="1038">
        <f>SUM(F24:F26)</f>
        <v>0</v>
      </c>
      <c r="G22" s="1038">
        <f>SUM(G24:G26)</f>
        <v>0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41"/>
      <c r="C24" s="1046" t="s">
        <v>507</v>
      </c>
      <c r="D24" s="1043">
        <v>0</v>
      </c>
      <c r="E24" s="1043">
        <v>0</v>
      </c>
      <c r="F24" s="1043">
        <v>0</v>
      </c>
      <c r="G24" s="1043">
        <v>0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5205000</v>
      </c>
      <c r="E32" s="1048">
        <f>E15+E22+E27</f>
        <v>5205000</v>
      </c>
      <c r="F32" s="1048">
        <f>F15+F22+F27</f>
        <v>0</v>
      </c>
      <c r="G32" s="1048">
        <f>G15+G22+G27</f>
        <v>5205000</v>
      </c>
      <c r="H32" s="1048">
        <f>H15+H22+H27</f>
        <v>0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213" t="s">
        <v>258</v>
      </c>
      <c r="C48" s="1213"/>
      <c r="F48" s="911" t="s">
        <v>257</v>
      </c>
      <c r="G48" s="1020" t="s">
        <v>258</v>
      </c>
    </row>
  </sheetData>
  <mergeCells count="10">
    <mergeCell ref="B48:C48"/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P48"/>
  <sheetViews>
    <sheetView workbookViewId="0" topLeftCell="A1">
      <selection activeCell="F28" sqref="F28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1.875" style="0" customWidth="1"/>
    <col min="4" max="4" width="41.25390625" style="0" customWidth="1"/>
    <col min="5" max="6" width="16.25390625" style="0" customWidth="1"/>
    <col min="7" max="7" width="16.75390625" style="0" customWidth="1"/>
    <col min="8" max="8" width="15.75390625" style="0" customWidth="1"/>
    <col min="9" max="9" width="23.625" style="0" customWidth="1"/>
  </cols>
  <sheetData>
    <row r="2" spans="2:16" ht="12.75"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</row>
    <row r="3" spans="2:16" ht="12.75"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</row>
    <row r="4" spans="2:16" ht="12.75">
      <c r="B4" s="911" t="s">
        <v>508</v>
      </c>
      <c r="C4" s="1025"/>
      <c r="D4" s="1025" t="s">
        <v>288</v>
      </c>
      <c r="E4" s="911"/>
      <c r="F4" s="911"/>
      <c r="G4" s="1064"/>
      <c r="H4" s="1064"/>
      <c r="I4" s="911"/>
      <c r="J4" s="911"/>
      <c r="K4" s="911"/>
      <c r="L4" s="911"/>
      <c r="M4" s="911"/>
      <c r="N4" s="911"/>
      <c r="O4" s="911"/>
      <c r="P4" s="911"/>
    </row>
    <row r="5" spans="2:16" ht="14.25">
      <c r="B5" s="911" t="s">
        <v>536</v>
      </c>
      <c r="C5" s="911"/>
      <c r="D5" s="1025" t="s">
        <v>896</v>
      </c>
      <c r="E5" s="911"/>
      <c r="F5" s="911"/>
      <c r="G5" s="911"/>
      <c r="H5" s="911"/>
      <c r="I5" s="911" t="s">
        <v>551</v>
      </c>
      <c r="J5" s="911"/>
      <c r="K5" s="911"/>
      <c r="L5" s="911"/>
      <c r="M5" s="911"/>
      <c r="N5" s="911"/>
      <c r="O5" s="911"/>
      <c r="P5" s="911"/>
    </row>
    <row r="6" spans="2:16" ht="12.75">
      <c r="B6" s="911" t="s">
        <v>509</v>
      </c>
      <c r="C6" s="1025"/>
      <c r="D6" s="1025" t="s">
        <v>510</v>
      </c>
      <c r="E6" s="911"/>
      <c r="F6" s="911"/>
      <c r="G6" s="1065"/>
      <c r="H6" s="1065"/>
      <c r="I6" s="911"/>
      <c r="J6" s="1066"/>
      <c r="K6" s="911"/>
      <c r="L6" s="911"/>
      <c r="M6" s="911"/>
      <c r="N6" s="911"/>
      <c r="O6" s="911"/>
      <c r="P6" s="911"/>
    </row>
    <row r="7" spans="2:16" ht="12.75">
      <c r="B7" s="911"/>
      <c r="C7" s="911"/>
      <c r="D7" s="911"/>
      <c r="E7" s="911"/>
      <c r="F7" s="911"/>
      <c r="G7" s="911"/>
      <c r="H7" s="911"/>
      <c r="I7" s="889" t="s">
        <v>504</v>
      </c>
      <c r="J7" s="911"/>
      <c r="K7" s="911"/>
      <c r="L7" s="911"/>
      <c r="M7" s="911"/>
      <c r="N7" s="911"/>
      <c r="O7" s="911"/>
      <c r="P7" s="911"/>
    </row>
    <row r="8" spans="2:16" ht="12.75">
      <c r="B8" s="911" t="s">
        <v>511</v>
      </c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</row>
    <row r="9" spans="2:16" ht="12.75">
      <c r="B9" s="911" t="s">
        <v>512</v>
      </c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</row>
    <row r="10" spans="2:16" ht="12.75">
      <c r="B10" s="1068" t="s">
        <v>537</v>
      </c>
      <c r="C10" s="911"/>
      <c r="D10" s="911"/>
      <c r="E10" s="911"/>
      <c r="F10" s="911"/>
      <c r="G10" s="911"/>
      <c r="H10" s="911"/>
      <c r="I10" s="889"/>
      <c r="J10" s="911"/>
      <c r="K10" s="911"/>
      <c r="L10" s="911"/>
      <c r="M10" s="911"/>
      <c r="N10" s="911"/>
      <c r="O10" s="911"/>
      <c r="P10" s="911"/>
    </row>
    <row r="11" spans="2:16" ht="12.75">
      <c r="B11" s="1069" t="s">
        <v>513</v>
      </c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</row>
    <row r="12" spans="2:16" ht="12.75">
      <c r="B12" s="1069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</row>
    <row r="13" spans="2:16" ht="13.5" thickBot="1">
      <c r="B13" s="911"/>
      <c r="C13" s="911"/>
      <c r="D13" s="911"/>
      <c r="E13" s="911"/>
      <c r="F13" s="911"/>
      <c r="G13" s="911"/>
      <c r="H13" s="911"/>
      <c r="I13" s="911" t="s">
        <v>204</v>
      </c>
      <c r="J13" s="911"/>
      <c r="K13" s="911"/>
      <c r="L13" s="911"/>
      <c r="M13" s="911"/>
      <c r="N13" s="911"/>
      <c r="O13" s="911"/>
      <c r="P13" s="911"/>
    </row>
    <row r="14" spans="2:16" ht="76.5" customHeight="1">
      <c r="B14" s="1070" t="s">
        <v>514</v>
      </c>
      <c r="C14" s="1071" t="s">
        <v>515</v>
      </c>
      <c r="D14" s="1072" t="s">
        <v>206</v>
      </c>
      <c r="E14" s="1073" t="s">
        <v>516</v>
      </c>
      <c r="F14" s="1071" t="s">
        <v>517</v>
      </c>
      <c r="G14" s="1071" t="s">
        <v>518</v>
      </c>
      <c r="H14" s="1074" t="s">
        <v>519</v>
      </c>
      <c r="I14" s="1075" t="s">
        <v>520</v>
      </c>
      <c r="J14" s="911"/>
      <c r="K14" s="911"/>
      <c r="L14" s="911"/>
      <c r="M14" s="911"/>
      <c r="N14" s="911"/>
      <c r="O14" s="911"/>
      <c r="P14" s="911"/>
    </row>
    <row r="15" spans="2:16" ht="13.5" thickBot="1">
      <c r="B15" s="1076" t="s">
        <v>210</v>
      </c>
      <c r="C15" s="1077" t="s">
        <v>211</v>
      </c>
      <c r="D15" s="1078" t="s">
        <v>562</v>
      </c>
      <c r="E15" s="1079">
        <v>1</v>
      </c>
      <c r="F15" s="1077">
        <v>2</v>
      </c>
      <c r="G15" s="1077">
        <v>3</v>
      </c>
      <c r="H15" s="1080">
        <v>4</v>
      </c>
      <c r="I15" s="1081" t="s">
        <v>521</v>
      </c>
      <c r="J15" s="911"/>
      <c r="K15" s="911"/>
      <c r="L15" s="911"/>
      <c r="M15" s="911"/>
      <c r="N15" s="911"/>
      <c r="O15" s="911"/>
      <c r="P15" s="911"/>
    </row>
    <row r="16" spans="2:16" s="1090" customFormat="1" ht="25.5" customHeight="1" thickBot="1">
      <c r="B16" s="1082"/>
      <c r="C16" s="1083"/>
      <c r="D16" s="1084" t="s">
        <v>213</v>
      </c>
      <c r="E16" s="1085">
        <f>E17+E18+E19+E20</f>
        <v>248929825</v>
      </c>
      <c r="F16" s="1086">
        <f>F17+F18+F19+F20</f>
        <v>248429825</v>
      </c>
      <c r="G16" s="1086">
        <f>G17+G18+G19+G20</f>
        <v>0</v>
      </c>
      <c r="H16" s="1087">
        <f>H17+H18+H19+H20</f>
        <v>245404345</v>
      </c>
      <c r="I16" s="1088">
        <f>I17+I18+I19+I20</f>
        <v>3025480</v>
      </c>
      <c r="J16" s="1089"/>
      <c r="K16" s="1089"/>
      <c r="L16" s="1089"/>
      <c r="M16" s="1089"/>
      <c r="N16" s="1089"/>
      <c r="O16" s="1089"/>
      <c r="P16" s="1089"/>
    </row>
    <row r="17" spans="2:16" ht="25.5" customHeight="1">
      <c r="B17" s="1091"/>
      <c r="C17" s="1092">
        <v>13306</v>
      </c>
      <c r="D17" s="1093" t="s">
        <v>522</v>
      </c>
      <c r="E17" s="1094">
        <v>59000000</v>
      </c>
      <c r="F17" s="1095">
        <v>58500000</v>
      </c>
      <c r="G17" s="1095">
        <v>0</v>
      </c>
      <c r="H17" s="1096">
        <v>56616520</v>
      </c>
      <c r="I17" s="1097">
        <f>F17-G17-H17</f>
        <v>1883480</v>
      </c>
      <c r="J17" s="911"/>
      <c r="K17" s="911"/>
      <c r="L17" s="911"/>
      <c r="M17" s="911"/>
      <c r="N17" s="911"/>
      <c r="O17" s="911"/>
      <c r="P17" s="911"/>
    </row>
    <row r="18" spans="2:16" ht="16.5" customHeight="1">
      <c r="B18" s="1091"/>
      <c r="C18" s="1092">
        <v>13235</v>
      </c>
      <c r="D18" s="1098" t="s">
        <v>523</v>
      </c>
      <c r="E18" s="1094">
        <v>189909000</v>
      </c>
      <c r="F18" s="1095">
        <v>189909000</v>
      </c>
      <c r="G18" s="1095">
        <v>0</v>
      </c>
      <c r="H18" s="1096">
        <v>188767000</v>
      </c>
      <c r="I18" s="1097">
        <f>F18-G18-H18</f>
        <v>1142000</v>
      </c>
      <c r="J18" s="911"/>
      <c r="K18" s="911"/>
      <c r="L18" s="911"/>
      <c r="M18" s="911"/>
      <c r="N18" s="911"/>
      <c r="O18" s="911"/>
      <c r="P18" s="911"/>
    </row>
    <row r="19" spans="2:16" ht="16.5" customHeight="1">
      <c r="B19" s="1091"/>
      <c r="C19" s="1092">
        <v>13002</v>
      </c>
      <c r="D19" s="1098" t="s">
        <v>525</v>
      </c>
      <c r="E19" s="1094">
        <v>20825</v>
      </c>
      <c r="F19" s="1095">
        <v>20825</v>
      </c>
      <c r="G19" s="1095">
        <v>0</v>
      </c>
      <c r="H19" s="1096">
        <v>20825</v>
      </c>
      <c r="I19" s="1097">
        <f>F19-G19-H19</f>
        <v>0</v>
      </c>
      <c r="J19" s="911"/>
      <c r="K19" s="911"/>
      <c r="L19" s="911"/>
      <c r="M19" s="911"/>
      <c r="N19" s="911"/>
      <c r="O19" s="911"/>
      <c r="P19" s="911"/>
    </row>
    <row r="20" spans="2:16" ht="16.5" customHeight="1" thickBot="1">
      <c r="B20" s="1091"/>
      <c r="C20" s="1100"/>
      <c r="D20" s="1098"/>
      <c r="E20" s="1094"/>
      <c r="F20" s="1095"/>
      <c r="G20" s="1095"/>
      <c r="H20" s="1096"/>
      <c r="I20" s="1097"/>
      <c r="J20" s="911"/>
      <c r="K20" s="911"/>
      <c r="L20" s="911"/>
      <c r="M20" s="911"/>
      <c r="N20" s="911"/>
      <c r="O20" s="911"/>
      <c r="P20" s="911"/>
    </row>
    <row r="21" spans="2:16" s="52" customFormat="1" ht="25.5" customHeight="1" thickBot="1">
      <c r="B21" s="1082"/>
      <c r="C21" s="1083"/>
      <c r="D21" s="1084" t="s">
        <v>248</v>
      </c>
      <c r="E21" s="1085">
        <f>E22</f>
        <v>0</v>
      </c>
      <c r="F21" s="1086">
        <f>F22</f>
        <v>0</v>
      </c>
      <c r="G21" s="1086">
        <f>G22</f>
        <v>0</v>
      </c>
      <c r="H21" s="1087">
        <f>H22</f>
        <v>0</v>
      </c>
      <c r="I21" s="1088">
        <f>I22</f>
        <v>0</v>
      </c>
      <c r="J21" s="12"/>
      <c r="K21" s="12"/>
      <c r="L21" s="12"/>
      <c r="M21" s="12"/>
      <c r="N21" s="12"/>
      <c r="O21" s="12"/>
      <c r="P21" s="12"/>
    </row>
    <row r="22" spans="2:16" ht="63.75" customHeight="1" thickBot="1">
      <c r="B22" s="1101"/>
      <c r="C22" s="1102"/>
      <c r="D22" s="1093" t="s">
        <v>526</v>
      </c>
      <c r="E22" s="1103"/>
      <c r="F22" s="1104"/>
      <c r="G22" s="1104"/>
      <c r="H22" s="1105"/>
      <c r="I22" s="1106">
        <f>F22-G22-H22</f>
        <v>0</v>
      </c>
      <c r="J22" s="911"/>
      <c r="K22" s="911"/>
      <c r="L22" s="911"/>
      <c r="M22" s="911"/>
      <c r="N22" s="911"/>
      <c r="O22" s="911"/>
      <c r="P22" s="911"/>
    </row>
    <row r="23" spans="2:16" s="52" customFormat="1" ht="25.5" customHeight="1" thickBot="1">
      <c r="B23" s="1082"/>
      <c r="C23" s="1083"/>
      <c r="D23" s="1084" t="s">
        <v>527</v>
      </c>
      <c r="E23" s="1085">
        <f>E24</f>
        <v>0</v>
      </c>
      <c r="F23" s="1086">
        <f>F24</f>
        <v>0</v>
      </c>
      <c r="G23" s="1086">
        <f>G24</f>
        <v>0</v>
      </c>
      <c r="H23" s="1087">
        <f>H24</f>
        <v>0</v>
      </c>
      <c r="I23" s="1088">
        <f>I24</f>
        <v>0</v>
      </c>
      <c r="J23" s="12"/>
      <c r="K23" s="12"/>
      <c r="L23" s="12"/>
      <c r="M23" s="12"/>
      <c r="N23" s="12"/>
      <c r="O23" s="12"/>
      <c r="P23" s="12"/>
    </row>
    <row r="24" spans="2:16" ht="63.75" customHeight="1" thickBot="1">
      <c r="B24" s="1091"/>
      <c r="C24" s="1107"/>
      <c r="D24" s="1093" t="s">
        <v>526</v>
      </c>
      <c r="E24" s="1094"/>
      <c r="F24" s="1095"/>
      <c r="G24" s="1095"/>
      <c r="H24" s="1096"/>
      <c r="I24" s="1097">
        <f>F24-G24-H24</f>
        <v>0</v>
      </c>
      <c r="J24" s="911"/>
      <c r="K24" s="911"/>
      <c r="L24" s="911"/>
      <c r="M24" s="911"/>
      <c r="N24" s="911"/>
      <c r="O24" s="911"/>
      <c r="P24" s="911"/>
    </row>
    <row r="25" spans="2:16" ht="25.5" customHeight="1" thickBot="1">
      <c r="B25" s="1108"/>
      <c r="C25" s="1109"/>
      <c r="D25" s="1110" t="s">
        <v>528</v>
      </c>
      <c r="E25" s="1111">
        <f>E16+E21+E23</f>
        <v>248929825</v>
      </c>
      <c r="F25" s="1112">
        <f>F16+F21+F23</f>
        <v>248429825</v>
      </c>
      <c r="G25" s="1112">
        <f>G16+G21+G23</f>
        <v>0</v>
      </c>
      <c r="H25" s="1113">
        <f>H16+H21+H23</f>
        <v>245404345</v>
      </c>
      <c r="I25" s="1114">
        <f>I16+I21+I23</f>
        <v>3025480</v>
      </c>
      <c r="J25" s="911"/>
      <c r="K25" s="911"/>
      <c r="L25" s="911"/>
      <c r="M25" s="911"/>
      <c r="N25" s="911"/>
      <c r="O25" s="911"/>
      <c r="P25" s="911"/>
    </row>
    <row r="26" spans="2:16" ht="12.75">
      <c r="B26" s="911"/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</row>
    <row r="27" spans="2:16" ht="12.75">
      <c r="B27" s="911" t="s">
        <v>250</v>
      </c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</row>
    <row r="28" spans="2:16" ht="14.25">
      <c r="B28" s="1115" t="s">
        <v>538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</row>
    <row r="29" spans="2:16" ht="12.75">
      <c r="B29" s="911" t="s">
        <v>529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</row>
    <row r="30" spans="2:16" ht="12.75">
      <c r="B30" s="911" t="s">
        <v>530</v>
      </c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</row>
    <row r="31" spans="2:16" ht="12.75">
      <c r="B31" s="911" t="s">
        <v>570</v>
      </c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  <c r="N31" s="911"/>
      <c r="O31" s="911"/>
      <c r="P31" s="911"/>
    </row>
    <row r="32" spans="2:16" ht="12.75">
      <c r="B32" s="911" t="s">
        <v>531</v>
      </c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</row>
    <row r="33" spans="2:16" ht="12.75">
      <c r="B33" s="911" t="s">
        <v>485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</row>
    <row r="34" spans="2:16" ht="12.75">
      <c r="B34" s="911" t="s">
        <v>532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</row>
    <row r="35" spans="2:16" ht="12.75">
      <c r="B35" s="911" t="s">
        <v>533</v>
      </c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</row>
    <row r="36" spans="2:16" ht="12.75">
      <c r="B36" s="911" t="s">
        <v>488</v>
      </c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  <c r="N36" s="911"/>
      <c r="O36" s="911"/>
      <c r="P36" s="911"/>
    </row>
    <row r="37" spans="2:16" ht="12.75">
      <c r="B37" s="911"/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</row>
    <row r="38" spans="2:16" ht="12.75">
      <c r="B38" s="911" t="s">
        <v>534</v>
      </c>
      <c r="C38" s="911"/>
      <c r="D38" s="911"/>
      <c r="E38" s="911"/>
      <c r="F38" s="911"/>
      <c r="G38" s="911"/>
      <c r="H38" s="911"/>
      <c r="I38" s="911"/>
      <c r="J38" s="911"/>
      <c r="K38" s="911"/>
      <c r="L38" s="911"/>
      <c r="M38" s="911"/>
      <c r="N38" s="911"/>
      <c r="O38" s="911"/>
      <c r="P38" s="911"/>
    </row>
    <row r="39" spans="2:16" ht="12.75">
      <c r="B39" s="911"/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</row>
    <row r="40" spans="2:16" ht="12.75">
      <c r="B40" s="911" t="s">
        <v>254</v>
      </c>
      <c r="C40" s="911"/>
      <c r="D40" s="911" t="s">
        <v>255</v>
      </c>
      <c r="E40" s="911"/>
      <c r="F40" s="911"/>
      <c r="G40" s="911"/>
      <c r="H40" s="911" t="s">
        <v>256</v>
      </c>
      <c r="I40" s="911" t="s">
        <v>303</v>
      </c>
      <c r="J40" s="911"/>
      <c r="K40" s="911"/>
      <c r="L40" s="911"/>
      <c r="M40" s="911"/>
      <c r="N40" s="911"/>
      <c r="O40" s="911"/>
      <c r="P40" s="911"/>
    </row>
    <row r="41" spans="2:16" ht="12.75">
      <c r="B41" s="911" t="s">
        <v>257</v>
      </c>
      <c r="C41" s="911"/>
      <c r="D41" s="1062" t="s">
        <v>535</v>
      </c>
      <c r="E41" s="911"/>
      <c r="F41" s="911"/>
      <c r="G41" s="911"/>
      <c r="H41" s="911" t="s">
        <v>257</v>
      </c>
      <c r="I41" s="1062" t="s">
        <v>535</v>
      </c>
      <c r="J41" s="911"/>
      <c r="K41" s="911"/>
      <c r="L41" s="911"/>
      <c r="M41" s="911"/>
      <c r="N41" s="911"/>
      <c r="O41" s="911"/>
      <c r="P41" s="911"/>
    </row>
    <row r="42" spans="2:16" ht="12.75"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</row>
    <row r="43" spans="2:16" ht="12.75">
      <c r="B43" s="911"/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  <c r="O43" s="911"/>
      <c r="P43" s="911"/>
    </row>
    <row r="44" spans="2:16" ht="12.75"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</row>
    <row r="45" spans="2:16" ht="12.75">
      <c r="B45" s="911"/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911"/>
    </row>
    <row r="46" spans="2:16" ht="12.75">
      <c r="B46" s="911"/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  <c r="N46" s="911"/>
      <c r="O46" s="911"/>
      <c r="P46" s="911"/>
    </row>
    <row r="47" spans="2:16" ht="12.75">
      <c r="B47" s="911"/>
      <c r="C47" s="911"/>
      <c r="D47" s="911"/>
      <c r="E47" s="911"/>
      <c r="F47" s="911"/>
      <c r="G47" s="911"/>
      <c r="H47" s="911"/>
      <c r="I47" s="911"/>
      <c r="J47" s="911"/>
      <c r="K47" s="911"/>
      <c r="L47" s="911"/>
      <c r="M47" s="911"/>
      <c r="N47" s="911"/>
      <c r="O47" s="911"/>
      <c r="P47" s="911"/>
    </row>
    <row r="48" spans="2:16" ht="12.75">
      <c r="B48" s="911"/>
      <c r="C48" s="911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</row>
  </sheetData>
  <printOptions horizontalCentered="1"/>
  <pageMargins left="0.35433070866141736" right="0.2362204724409449" top="0.15748031496062992" bottom="0.2755905511811024" header="0.31496062992125984" footer="0.1968503937007874"/>
  <pageSetup horizontalDpi="600" verticalDpi="600" orientation="landscape" paperSize="9" scale="70" r:id="rId1"/>
  <headerFooter alignWithMargins="0">
    <oddFooter>&amp;C20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38" sqref="A38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214"/>
      <c r="H2" s="1214"/>
    </row>
    <row r="3" spans="1:8" ht="12.75">
      <c r="A3" s="911" t="s">
        <v>508</v>
      </c>
      <c r="C3" s="1025" t="s">
        <v>288</v>
      </c>
      <c r="G3" s="1180" t="s">
        <v>551</v>
      </c>
      <c r="H3" s="1180"/>
    </row>
    <row r="4" spans="1:8" ht="12.75">
      <c r="A4" s="911" t="s">
        <v>496</v>
      </c>
      <c r="C4" s="1025" t="s">
        <v>896</v>
      </c>
      <c r="G4" s="1212"/>
      <c r="H4" s="1212"/>
    </row>
    <row r="5" spans="1:8" ht="12.75">
      <c r="A5" s="911" t="s">
        <v>509</v>
      </c>
      <c r="C5" s="1025" t="s">
        <v>539</v>
      </c>
      <c r="G5" s="1212" t="s">
        <v>504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157000</v>
      </c>
      <c r="E15" s="1038">
        <f>SUM(E17:E21)</f>
        <v>157000</v>
      </c>
      <c r="F15" s="1039">
        <f>SUM(F17:F21)</f>
        <v>0</v>
      </c>
      <c r="G15" s="1038">
        <f>SUM(G17:G21)</f>
        <v>127446</v>
      </c>
      <c r="H15" s="1038">
        <f>SUM(H17:H21)</f>
        <v>29554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50">
        <v>22005</v>
      </c>
      <c r="C17" s="1045" t="s">
        <v>540</v>
      </c>
      <c r="D17" s="1043">
        <v>157000</v>
      </c>
      <c r="E17" s="1043">
        <v>157000</v>
      </c>
      <c r="F17" s="1043">
        <v>0</v>
      </c>
      <c r="G17" s="1043">
        <v>127446</v>
      </c>
      <c r="H17" s="1043">
        <f>D17-F17-G17</f>
        <v>29554</v>
      </c>
    </row>
    <row r="18" spans="1:8" ht="12.75">
      <c r="A18" s="1040"/>
      <c r="B18" s="1041"/>
      <c r="C18" s="1046"/>
      <c r="D18" s="1043"/>
      <c r="E18" s="1043"/>
      <c r="F18" s="1043"/>
      <c r="G18" s="1043"/>
      <c r="H18" s="1043"/>
    </row>
    <row r="19" spans="1:8" ht="12.75">
      <c r="A19" s="1040"/>
      <c r="B19" s="1041"/>
      <c r="C19" s="1046"/>
      <c r="D19" s="1043"/>
      <c r="E19" s="1043"/>
      <c r="F19" s="1043"/>
      <c r="G19" s="1043"/>
      <c r="H19" s="1043"/>
    </row>
    <row r="20" spans="1:8" ht="12.75">
      <c r="A20" s="1040"/>
      <c r="B20" s="1041"/>
      <c r="C20" s="1046"/>
      <c r="D20" s="1043"/>
      <c r="E20" s="1043"/>
      <c r="F20" s="1043"/>
      <c r="G20" s="1043"/>
      <c r="H20" s="1043"/>
    </row>
    <row r="21" spans="1:8" ht="13.5" thickBot="1">
      <c r="A21" s="1040"/>
      <c r="B21" s="1041"/>
      <c r="C21" s="1047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0</v>
      </c>
      <c r="E22" s="1038">
        <f>SUM(E24:E26)</f>
        <v>0</v>
      </c>
      <c r="F22" s="1038">
        <f>SUM(F24:F26)</f>
        <v>0</v>
      </c>
      <c r="G22" s="1038">
        <f>SUM(G24:G26)</f>
        <v>0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41"/>
      <c r="C24" s="1046" t="s">
        <v>507</v>
      </c>
      <c r="D24" s="1043">
        <v>0</v>
      </c>
      <c r="E24" s="1043">
        <v>0</v>
      </c>
      <c r="F24" s="1043">
        <v>0</v>
      </c>
      <c r="G24" s="1043">
        <v>0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157000</v>
      </c>
      <c r="E32" s="1048">
        <f>E15+E22+E27</f>
        <v>157000</v>
      </c>
      <c r="F32" s="1048">
        <f>F15+F22+F27</f>
        <v>0</v>
      </c>
      <c r="G32" s="1048">
        <f>G15+G22+G27</f>
        <v>127446</v>
      </c>
      <c r="H32" s="1048">
        <f>H15+H22+H27</f>
        <v>29554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062" t="s">
        <v>258</v>
      </c>
      <c r="F48" s="911" t="s">
        <v>257</v>
      </c>
      <c r="G48" s="1062" t="s">
        <v>258</v>
      </c>
    </row>
  </sheetData>
  <mergeCells count="9"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B1">
      <selection activeCell="H24" sqref="H24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214"/>
      <c r="H2" s="1214"/>
    </row>
    <row r="3" spans="1:7" ht="12.75">
      <c r="A3" s="911" t="s">
        <v>508</v>
      </c>
      <c r="C3" s="1025" t="s">
        <v>288</v>
      </c>
      <c r="G3" s="911" t="s">
        <v>551</v>
      </c>
    </row>
    <row r="4" spans="1:8" ht="12.75">
      <c r="A4" s="911" t="s">
        <v>496</v>
      </c>
      <c r="C4" s="1025" t="s">
        <v>896</v>
      </c>
      <c r="G4" s="1065"/>
      <c r="H4" s="1065"/>
    </row>
    <row r="5" spans="1:7" ht="12.75">
      <c r="A5" s="911" t="s">
        <v>509</v>
      </c>
      <c r="C5" s="1025" t="s">
        <v>541</v>
      </c>
      <c r="G5" s="1116" t="s">
        <v>504</v>
      </c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327240</v>
      </c>
      <c r="E15" s="1038">
        <f>SUM(E17:E21)</f>
        <v>327240</v>
      </c>
      <c r="F15" s="1039">
        <f>SUM(F17:F21)</f>
        <v>0</v>
      </c>
      <c r="G15" s="1038">
        <f>SUM(G17:G21)</f>
        <v>326577</v>
      </c>
      <c r="H15" s="1038">
        <f>SUM(H17:H21)</f>
        <v>663</v>
      </c>
    </row>
    <row r="16" spans="1:8" ht="12.75">
      <c r="A16" s="1040"/>
      <c r="B16" s="1117"/>
      <c r="C16" s="1118" t="s">
        <v>214</v>
      </c>
      <c r="D16" s="1043"/>
      <c r="E16" s="1043"/>
      <c r="F16" s="1043"/>
      <c r="G16" s="1043"/>
      <c r="H16" s="1044"/>
    </row>
    <row r="17" spans="1:8" ht="12.75">
      <c r="A17" s="1040"/>
      <c r="B17" s="1119">
        <v>14004</v>
      </c>
      <c r="C17" s="1046" t="s">
        <v>45</v>
      </c>
      <c r="D17" s="1043">
        <v>63240</v>
      </c>
      <c r="E17" s="1043">
        <v>63240</v>
      </c>
      <c r="F17" s="1043">
        <v>0</v>
      </c>
      <c r="G17" s="1043">
        <v>63240</v>
      </c>
      <c r="H17" s="1043">
        <f>D17-F17-G17</f>
        <v>0</v>
      </c>
    </row>
    <row r="18" spans="1:8" ht="12.75">
      <c r="A18" s="1040"/>
      <c r="B18" s="1119">
        <v>14005</v>
      </c>
      <c r="C18" s="1046" t="s">
        <v>46</v>
      </c>
      <c r="D18" s="1043">
        <v>264000</v>
      </c>
      <c r="E18" s="1043">
        <v>264000</v>
      </c>
      <c r="F18" s="1043">
        <v>0</v>
      </c>
      <c r="G18" s="1043">
        <v>263337</v>
      </c>
      <c r="H18" s="1043">
        <f>D18-F18-G18</f>
        <v>663</v>
      </c>
    </row>
    <row r="19" spans="1:8" ht="12.75">
      <c r="A19" s="1040"/>
      <c r="C19" s="1120"/>
      <c r="D19" s="1043"/>
      <c r="E19" s="1043"/>
      <c r="F19" s="1043"/>
      <c r="G19" s="1043"/>
      <c r="H19" s="1043"/>
    </row>
    <row r="20" spans="1:8" ht="12.75">
      <c r="A20" s="1040"/>
      <c r="B20" s="1117"/>
      <c r="C20" s="1046"/>
      <c r="D20" s="1043"/>
      <c r="E20" s="1043"/>
      <c r="F20" s="1043"/>
      <c r="G20" s="1043"/>
      <c r="H20" s="1043"/>
    </row>
    <row r="21" spans="1:8" ht="13.5" thickBot="1">
      <c r="A21" s="1040"/>
      <c r="B21" s="1117"/>
      <c r="C21" s="1047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0</v>
      </c>
      <c r="E22" s="1038">
        <f>SUM(E24:E26)</f>
        <v>0</v>
      </c>
      <c r="F22" s="1038">
        <f>SUM(F24:F26)</f>
        <v>0</v>
      </c>
      <c r="G22" s="1038">
        <f>SUM(G24:G26)</f>
        <v>0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41"/>
      <c r="C24" s="1046" t="s">
        <v>507</v>
      </c>
      <c r="D24" s="1043">
        <v>0</v>
      </c>
      <c r="E24" s="1043">
        <v>0</v>
      </c>
      <c r="F24" s="1043">
        <v>0</v>
      </c>
      <c r="G24" s="1043">
        <v>0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327240</v>
      </c>
      <c r="E32" s="1048">
        <f>E15+E22+E27</f>
        <v>327240</v>
      </c>
      <c r="F32" s="1048">
        <f>F15+F22+F27</f>
        <v>0</v>
      </c>
      <c r="G32" s="1048">
        <f>G15+G22+G27</f>
        <v>326577</v>
      </c>
      <c r="H32" s="1048">
        <f>H15+H22+H27</f>
        <v>663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062" t="s">
        <v>258</v>
      </c>
      <c r="F48" s="911" t="s">
        <v>257</v>
      </c>
      <c r="G48" s="1062" t="s">
        <v>258</v>
      </c>
    </row>
  </sheetData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20" zoomScaleNormal="120" workbookViewId="0" topLeftCell="A1">
      <pane ySplit="1" topLeftCell="BM14" activePane="bottomLeft" state="frozen"/>
      <selection pane="topLeft" activeCell="A1" sqref="A1"/>
      <selection pane="bottomLeft" activeCell="K44" sqref="K44"/>
    </sheetView>
  </sheetViews>
  <sheetFormatPr defaultColWidth="9.00390625" defaultRowHeight="12.75" outlineLevelRow="1" outlineLevelCol="1"/>
  <cols>
    <col min="1" max="1" width="24.00390625" style="24" customWidth="1"/>
    <col min="2" max="2" width="12.75390625" style="24" customWidth="1"/>
    <col min="3" max="4" width="12.75390625" style="22" hidden="1" customWidth="1" outlineLevel="1"/>
    <col min="5" max="5" width="12.75390625" style="22" customWidth="1" collapsed="1"/>
    <col min="6" max="6" width="12.75390625" style="22" customWidth="1" outlineLevel="1"/>
    <col min="7" max="7" width="7.25390625" style="22" customWidth="1" outlineLevel="1"/>
    <col min="8" max="8" width="32.375" style="24" customWidth="1"/>
    <col min="9" max="9" width="16.00390625" style="24" bestFit="1" customWidth="1"/>
    <col min="10" max="10" width="12.625" style="23" customWidth="1" collapsed="1"/>
    <col min="11" max="11" width="9.125" style="24" customWidth="1" collapsed="1"/>
    <col min="12" max="12" width="10.00390625" style="24" bestFit="1" customWidth="1"/>
    <col min="13" max="14" width="9.125" style="24" customWidth="1"/>
    <col min="15" max="15" width="9.125" style="24" customWidth="1" collapsed="1"/>
    <col min="16" max="16" width="9.125" style="24" customWidth="1"/>
    <col min="17" max="26" width="9.125" style="24" customWidth="1" collapsed="1"/>
    <col min="27" max="16384" width="9.125" style="24" customWidth="1"/>
  </cols>
  <sheetData>
    <row r="1" spans="1:10" s="16" customFormat="1" ht="39" customHeight="1" thickBot="1">
      <c r="A1" s="13" t="s">
        <v>455</v>
      </c>
      <c r="B1" s="13" t="s">
        <v>100</v>
      </c>
      <c r="C1" s="13" t="s">
        <v>789</v>
      </c>
      <c r="D1" s="13" t="s">
        <v>328</v>
      </c>
      <c r="E1" s="13" t="s">
        <v>179</v>
      </c>
      <c r="F1" s="14" t="s">
        <v>8</v>
      </c>
      <c r="G1" s="14" t="s">
        <v>329</v>
      </c>
      <c r="H1" s="15" t="s">
        <v>327</v>
      </c>
      <c r="J1" s="17"/>
    </row>
    <row r="2" spans="1:9" ht="12.75" customHeight="1">
      <c r="A2" s="18" t="s">
        <v>790</v>
      </c>
      <c r="B2" s="19">
        <v>9668000</v>
      </c>
      <c r="C2" s="19">
        <v>10728908</v>
      </c>
      <c r="D2" s="20">
        <v>-130000</v>
      </c>
      <c r="E2" s="20">
        <v>8415421</v>
      </c>
      <c r="F2" s="20">
        <v>8191268.56</v>
      </c>
      <c r="G2" s="20">
        <f aca="true" t="shared" si="0" ref="G2:G17">F2/E2*100</f>
        <v>97.33640848152457</v>
      </c>
      <c r="H2" s="21"/>
      <c r="I2" s="22"/>
    </row>
    <row r="3" spans="1:9" ht="12.75" customHeight="1">
      <c r="A3" s="18" t="s">
        <v>308</v>
      </c>
      <c r="B3" s="25">
        <v>41922000</v>
      </c>
      <c r="C3" s="25">
        <v>15528631</v>
      </c>
      <c r="D3" s="20"/>
      <c r="E3" s="20">
        <v>54037803</v>
      </c>
      <c r="F3" s="20">
        <v>50619580.23</v>
      </c>
      <c r="G3" s="20">
        <f t="shared" si="0"/>
        <v>93.67438611447618</v>
      </c>
      <c r="H3" s="21"/>
      <c r="I3" s="22"/>
    </row>
    <row r="4" spans="1:9" ht="12.75" customHeight="1">
      <c r="A4" s="18" t="s">
        <v>309</v>
      </c>
      <c r="B4" s="25">
        <v>4704000</v>
      </c>
      <c r="C4" s="25">
        <v>3793651</v>
      </c>
      <c r="D4" s="20">
        <v>400000</v>
      </c>
      <c r="E4" s="20">
        <v>4189024.55</v>
      </c>
      <c r="F4" s="20">
        <v>3889901.55</v>
      </c>
      <c r="G4" s="20">
        <f t="shared" si="0"/>
        <v>92.85936388221931</v>
      </c>
      <c r="H4" s="21"/>
      <c r="I4" s="22"/>
    </row>
    <row r="5" spans="1:9" ht="12.75" customHeight="1">
      <c r="A5" s="18" t="s">
        <v>310</v>
      </c>
      <c r="B5" s="25">
        <v>75000</v>
      </c>
      <c r="C5" s="25">
        <v>104746</v>
      </c>
      <c r="D5" s="20"/>
      <c r="E5" s="20">
        <v>75000</v>
      </c>
      <c r="F5" s="20">
        <v>61600.15</v>
      </c>
      <c r="G5" s="20">
        <f t="shared" si="0"/>
        <v>82.13353333333333</v>
      </c>
      <c r="H5" s="21"/>
      <c r="I5" s="22"/>
    </row>
    <row r="6" spans="1:9" ht="12.75" customHeight="1">
      <c r="A6" s="18" t="s">
        <v>311</v>
      </c>
      <c r="B6" s="25">
        <f>40262100+40000000</f>
        <v>80262100</v>
      </c>
      <c r="C6" s="25">
        <v>108477648.63</v>
      </c>
      <c r="D6" s="20">
        <v>-1421000</v>
      </c>
      <c r="E6" s="25">
        <v>135129758.68</v>
      </c>
      <c r="F6" s="20">
        <v>54473863.08</v>
      </c>
      <c r="G6" s="20">
        <f t="shared" si="0"/>
        <v>40.31226253352471</v>
      </c>
      <c r="H6" s="21"/>
      <c r="I6" s="22"/>
    </row>
    <row r="7" spans="1:9" ht="12.75" customHeight="1">
      <c r="A7" s="18" t="s">
        <v>312</v>
      </c>
      <c r="B7" s="19">
        <v>28000</v>
      </c>
      <c r="C7" s="19">
        <v>47838</v>
      </c>
      <c r="D7" s="19"/>
      <c r="E7" s="20">
        <v>28000</v>
      </c>
      <c r="F7" s="20">
        <v>22833</v>
      </c>
      <c r="G7" s="20">
        <f t="shared" si="0"/>
        <v>81.54642857142858</v>
      </c>
      <c r="H7" s="21"/>
      <c r="I7" s="22"/>
    </row>
    <row r="8" spans="1:9" ht="12.75" customHeight="1">
      <c r="A8" s="18" t="s">
        <v>457</v>
      </c>
      <c r="B8" s="25">
        <v>369607000</v>
      </c>
      <c r="C8" s="25">
        <v>338289574</v>
      </c>
      <c r="D8" s="20"/>
      <c r="E8" s="20">
        <v>367031047.2</v>
      </c>
      <c r="F8" s="20">
        <v>365180184.32</v>
      </c>
      <c r="G8" s="20">
        <f t="shared" si="0"/>
        <v>99.49572035005762</v>
      </c>
      <c r="H8" s="21"/>
      <c r="I8" s="22"/>
    </row>
    <row r="9" spans="1:9" ht="12.75" customHeight="1">
      <c r="A9" s="18" t="s">
        <v>313</v>
      </c>
      <c r="B9" s="25">
        <v>1119000</v>
      </c>
      <c r="C9" s="25">
        <v>1022446</v>
      </c>
      <c r="D9" s="20"/>
      <c r="E9" s="20">
        <v>795961</v>
      </c>
      <c r="F9" s="20">
        <v>749450.85</v>
      </c>
      <c r="G9" s="20">
        <f t="shared" si="0"/>
        <v>94.15673004079346</v>
      </c>
      <c r="H9" s="21"/>
      <c r="I9" s="22"/>
    </row>
    <row r="10" spans="1:9" ht="12.75" customHeight="1">
      <c r="A10" s="18" t="s">
        <v>314</v>
      </c>
      <c r="B10" s="25">
        <v>336000</v>
      </c>
      <c r="C10" s="25">
        <v>409411</v>
      </c>
      <c r="D10" s="20"/>
      <c r="E10" s="20">
        <v>372681</v>
      </c>
      <c r="F10" s="20">
        <v>286311.55</v>
      </c>
      <c r="G10" s="20">
        <f t="shared" si="0"/>
        <v>76.82483142419387</v>
      </c>
      <c r="H10" s="21"/>
      <c r="I10" s="22"/>
    </row>
    <row r="11" spans="1:9" ht="12.75" customHeight="1">
      <c r="A11" s="18" t="s">
        <v>315</v>
      </c>
      <c r="B11" s="25">
        <v>63920000</v>
      </c>
      <c r="C11" s="25">
        <v>66729282.39</v>
      </c>
      <c r="D11" s="25">
        <v>1183089.22</v>
      </c>
      <c r="E11" s="20">
        <v>97694683.85</v>
      </c>
      <c r="F11" s="25">
        <v>97204804.77</v>
      </c>
      <c r="G11" s="20">
        <f t="shared" si="0"/>
        <v>99.49856116966185</v>
      </c>
      <c r="H11" s="21"/>
      <c r="I11" s="22"/>
    </row>
    <row r="12" spans="1:9" ht="12.75" customHeight="1">
      <c r="A12" s="18" t="s">
        <v>71</v>
      </c>
      <c r="B12" s="25">
        <v>39338000</v>
      </c>
      <c r="C12" s="25">
        <v>17188792</v>
      </c>
      <c r="D12" s="20"/>
      <c r="E12" s="20">
        <v>19451300</v>
      </c>
      <c r="F12" s="20">
        <v>16866125.15</v>
      </c>
      <c r="G12" s="20">
        <f t="shared" si="0"/>
        <v>86.70950090739436</v>
      </c>
      <c r="H12" s="21"/>
      <c r="I12" s="22"/>
    </row>
    <row r="13" spans="1:9" ht="12.75" customHeight="1">
      <c r="A13" s="21" t="s">
        <v>72</v>
      </c>
      <c r="B13" s="25">
        <v>154318000</v>
      </c>
      <c r="C13" s="25">
        <v>144144621</v>
      </c>
      <c r="D13" s="25">
        <v>0</v>
      </c>
      <c r="E13" s="20">
        <v>151911552.6</v>
      </c>
      <c r="F13" s="25">
        <v>151862141.02</v>
      </c>
      <c r="G13" s="20">
        <f t="shared" si="0"/>
        <v>99.96747345468182</v>
      </c>
      <c r="H13" s="21"/>
      <c r="I13" s="22"/>
    </row>
    <row r="14" spans="1:9" ht="12.75" customHeight="1">
      <c r="A14" s="21" t="s">
        <v>73</v>
      </c>
      <c r="B14" s="25">
        <v>326000</v>
      </c>
      <c r="C14" s="25">
        <v>200191755</v>
      </c>
      <c r="D14" s="25">
        <v>40019000</v>
      </c>
      <c r="E14" s="20">
        <v>250436291</v>
      </c>
      <c r="F14" s="25">
        <v>246877821.55</v>
      </c>
      <c r="G14" s="20">
        <f t="shared" si="0"/>
        <v>98.57909193759782</v>
      </c>
      <c r="H14" s="21"/>
      <c r="I14" s="22"/>
    </row>
    <row r="15" spans="1:9" ht="12.75" customHeight="1">
      <c r="A15" s="21" t="s">
        <v>458</v>
      </c>
      <c r="B15" s="25">
        <v>366840000</v>
      </c>
      <c r="C15" s="25">
        <v>369614060.5</v>
      </c>
      <c r="D15" s="25">
        <v>1810120</v>
      </c>
      <c r="E15" s="20">
        <v>375923498.24</v>
      </c>
      <c r="F15" s="25">
        <f>381402853.02-8250000-81404</f>
        <v>373071449.02</v>
      </c>
      <c r="G15" s="20">
        <f t="shared" si="0"/>
        <v>99.24132190901798</v>
      </c>
      <c r="H15" s="21"/>
      <c r="I15" s="22"/>
    </row>
    <row r="16" spans="1:9" ht="12.75" customHeight="1">
      <c r="A16" s="21" t="s">
        <v>74</v>
      </c>
      <c r="B16" s="25">
        <v>58574000</v>
      </c>
      <c r="C16" s="25">
        <v>49379851</v>
      </c>
      <c r="D16" s="25"/>
      <c r="E16" s="20">
        <v>49311394</v>
      </c>
      <c r="F16" s="25">
        <f>48419128.58-48000</f>
        <v>48371128.58</v>
      </c>
      <c r="G16" s="20">
        <f t="shared" si="0"/>
        <v>98.09320860002457</v>
      </c>
      <c r="H16" s="21"/>
      <c r="I16" s="22"/>
    </row>
    <row r="17" spans="1:9" ht="12.75" customHeight="1">
      <c r="A17" s="21" t="s">
        <v>75</v>
      </c>
      <c r="B17" s="25">
        <v>0</v>
      </c>
      <c r="C17" s="25"/>
      <c r="D17" s="25"/>
      <c r="E17" s="20">
        <v>1274250</v>
      </c>
      <c r="F17" s="25">
        <v>1274194</v>
      </c>
      <c r="G17" s="20">
        <f t="shared" si="0"/>
        <v>99.9956052579949</v>
      </c>
      <c r="H17" s="21"/>
      <c r="I17" s="22"/>
    </row>
    <row r="18" spans="1:9" ht="12.75" customHeight="1">
      <c r="A18" s="21" t="s">
        <v>154</v>
      </c>
      <c r="B18" s="25">
        <v>19882000</v>
      </c>
      <c r="C18" s="25">
        <v>16320465</v>
      </c>
      <c r="D18" s="25">
        <v>0</v>
      </c>
      <c r="E18" s="20">
        <v>17960294.45</v>
      </c>
      <c r="F18" s="25">
        <v>17192399.1</v>
      </c>
      <c r="G18" s="20">
        <f aca="true" t="shared" si="1" ref="G18:G26">F18/E18*100</f>
        <v>95.72448351480118</v>
      </c>
      <c r="H18" s="21"/>
      <c r="I18" s="22"/>
    </row>
    <row r="19" spans="1:9" ht="12.75" customHeight="1">
      <c r="A19" s="21" t="s">
        <v>69</v>
      </c>
      <c r="B19" s="25">
        <v>201137000</v>
      </c>
      <c r="C19" s="25">
        <v>206713983.52</v>
      </c>
      <c r="D19" s="25">
        <v>-200000</v>
      </c>
      <c r="E19" s="20">
        <v>210561754.19</v>
      </c>
      <c r="F19" s="25">
        <v>209714541.13</v>
      </c>
      <c r="G19" s="20">
        <f t="shared" si="1"/>
        <v>99.59764152646852</v>
      </c>
      <c r="H19" s="21"/>
      <c r="I19" s="22"/>
    </row>
    <row r="20" spans="1:9" ht="12.75" customHeight="1">
      <c r="A20" s="21" t="s">
        <v>155</v>
      </c>
      <c r="B20" s="25">
        <v>30387000</v>
      </c>
      <c r="C20" s="25">
        <v>37460966</v>
      </c>
      <c r="D20" s="25">
        <v>30000</v>
      </c>
      <c r="E20" s="20">
        <v>30385878</v>
      </c>
      <c r="F20" s="25">
        <v>30122908.45</v>
      </c>
      <c r="G20" s="20">
        <f t="shared" si="1"/>
        <v>99.13456655753043</v>
      </c>
      <c r="H20" s="21"/>
      <c r="I20" s="22"/>
    </row>
    <row r="21" spans="1:9" ht="12.75" customHeight="1">
      <c r="A21" s="21" t="s">
        <v>70</v>
      </c>
      <c r="B21" s="25">
        <v>2720000</v>
      </c>
      <c r="C21" s="25">
        <v>3425510</v>
      </c>
      <c r="D21" s="25"/>
      <c r="E21" s="20">
        <v>3063366.42</v>
      </c>
      <c r="F21" s="25">
        <v>3027823.89</v>
      </c>
      <c r="G21" s="20">
        <f t="shared" si="1"/>
        <v>98.83975583959035</v>
      </c>
      <c r="H21" s="21"/>
      <c r="I21" s="22"/>
    </row>
    <row r="22" spans="1:9" ht="12.75" customHeight="1" thickBot="1">
      <c r="A22" s="21" t="s">
        <v>156</v>
      </c>
      <c r="B22" s="25">
        <v>244000</v>
      </c>
      <c r="C22" s="25">
        <v>334907</v>
      </c>
      <c r="D22" s="25">
        <v>-40000</v>
      </c>
      <c r="E22" s="20">
        <v>3638460</v>
      </c>
      <c r="F22" s="25">
        <v>3606887.8</v>
      </c>
      <c r="G22" s="25">
        <f t="shared" si="1"/>
        <v>99.13226474937198</v>
      </c>
      <c r="H22" s="21"/>
      <c r="I22" s="22"/>
    </row>
    <row r="23" spans="1:12" ht="19.5" customHeight="1" thickBot="1">
      <c r="A23" s="26" t="s">
        <v>157</v>
      </c>
      <c r="B23" s="27">
        <f>SUM(B2:B22)</f>
        <v>1445407100</v>
      </c>
      <c r="C23" s="27">
        <f>SUM(C2:C22)</f>
        <v>1589907047.04</v>
      </c>
      <c r="D23" s="27">
        <f>SUM(D2:D22)</f>
        <v>41651209.22</v>
      </c>
      <c r="E23" s="27">
        <f>SUM(E2:E22)</f>
        <v>1781687419.1800003</v>
      </c>
      <c r="F23" s="27">
        <f>SUM(F2:F22)</f>
        <v>1682667217.7499998</v>
      </c>
      <c r="G23" s="27">
        <f t="shared" si="1"/>
        <v>94.44233593592004</v>
      </c>
      <c r="H23" s="28"/>
      <c r="K23" s="29"/>
      <c r="L23" s="22"/>
    </row>
    <row r="24" spans="1:8" ht="22.5" customHeight="1">
      <c r="A24" s="1156" t="s">
        <v>51</v>
      </c>
      <c r="B24" s="19">
        <v>23106000</v>
      </c>
      <c r="C24" s="19">
        <v>91362651.72</v>
      </c>
      <c r="D24" s="19"/>
      <c r="E24" s="19">
        <v>56058456.13</v>
      </c>
      <c r="F24" s="19">
        <f>26492525.26+129404</f>
        <v>26621929.26</v>
      </c>
      <c r="G24" s="19">
        <f t="shared" si="1"/>
        <v>47.48958693807681</v>
      </c>
      <c r="H24" s="21"/>
    </row>
    <row r="25" spans="1:8" ht="12.75" customHeight="1">
      <c r="A25" s="21" t="s">
        <v>158</v>
      </c>
      <c r="B25" s="19">
        <v>173609000</v>
      </c>
      <c r="C25" s="19">
        <v>186950516</v>
      </c>
      <c r="D25" s="19">
        <v>1297936</v>
      </c>
      <c r="E25" s="19">
        <v>198591673</v>
      </c>
      <c r="F25" s="19">
        <v>198591673</v>
      </c>
      <c r="G25" s="19">
        <f t="shared" si="1"/>
        <v>100</v>
      </c>
      <c r="H25" s="21"/>
    </row>
    <row r="26" spans="1:9" ht="12.75" customHeight="1">
      <c r="A26" s="21" t="s">
        <v>52</v>
      </c>
      <c r="B26" s="19">
        <v>-40000000</v>
      </c>
      <c r="C26" s="19">
        <v>-120000000</v>
      </c>
      <c r="D26" s="19"/>
      <c r="E26" s="19">
        <v>-40000000</v>
      </c>
      <c r="F26" s="19">
        <v>-21361587.76</v>
      </c>
      <c r="G26" s="19">
        <f t="shared" si="1"/>
        <v>53.40396940000001</v>
      </c>
      <c r="H26" s="30"/>
      <c r="I26" s="31"/>
    </row>
    <row r="27" spans="1:9" ht="12.75" customHeight="1" hidden="1" outlineLevel="1">
      <c r="A27" s="21" t="s">
        <v>159</v>
      </c>
      <c r="B27" s="19"/>
      <c r="C27" s="19"/>
      <c r="D27" s="19"/>
      <c r="E27" s="19">
        <v>0</v>
      </c>
      <c r="F27" s="19"/>
      <c r="G27" s="19">
        <v>0</v>
      </c>
      <c r="H27" s="30" t="s">
        <v>160</v>
      </c>
      <c r="I27" s="32"/>
    </row>
    <row r="28" spans="1:9" ht="19.5" customHeight="1" collapsed="1">
      <c r="A28" s="33" t="s">
        <v>161</v>
      </c>
      <c r="B28" s="34">
        <f>SUM(B23:B26)</f>
        <v>1602122100</v>
      </c>
      <c r="C28" s="34">
        <f>SUM(C23:C26)</f>
        <v>1748220214.76</v>
      </c>
      <c r="D28" s="34">
        <f>SUM(D23:D26)</f>
        <v>42949145.22</v>
      </c>
      <c r="E28" s="34">
        <f>SUM(E23:E26)</f>
        <v>1996337548.3100004</v>
      </c>
      <c r="F28" s="34">
        <f>F23+F24+F25+F26</f>
        <v>1886519232.2499998</v>
      </c>
      <c r="G28" s="34">
        <f>F28/E28*100</f>
        <v>94.49901064311658</v>
      </c>
      <c r="H28" s="35"/>
      <c r="I28" s="36"/>
    </row>
    <row r="29" spans="1:8" ht="12.75" customHeight="1">
      <c r="A29" s="21" t="s">
        <v>162</v>
      </c>
      <c r="B29" s="19">
        <v>445322000</v>
      </c>
      <c r="C29" s="19">
        <v>942154028.46</v>
      </c>
      <c r="D29" s="19">
        <v>431000</v>
      </c>
      <c r="E29" s="19">
        <v>680288942.47</v>
      </c>
      <c r="F29" s="19">
        <v>653691329.2</v>
      </c>
      <c r="G29" s="19">
        <f>F29/E29*100</f>
        <v>96.0902475978179</v>
      </c>
      <c r="H29" s="21"/>
    </row>
    <row r="30" spans="1:8" ht="12.75" customHeight="1" hidden="1" outlineLevel="1">
      <c r="A30" s="21" t="s">
        <v>163</v>
      </c>
      <c r="B30" s="19">
        <v>0</v>
      </c>
      <c r="C30" s="19">
        <v>0</v>
      </c>
      <c r="D30" s="19"/>
      <c r="E30" s="19"/>
      <c r="F30" s="19"/>
      <c r="G30" s="19" t="e">
        <f>F30/E30*100</f>
        <v>#DIV/0!</v>
      </c>
      <c r="H30" s="21"/>
    </row>
    <row r="31" spans="1:8" ht="19.5" customHeight="1" collapsed="1">
      <c r="A31" s="33" t="s">
        <v>164</v>
      </c>
      <c r="B31" s="34">
        <f>SUM(B29:B30)</f>
        <v>445322000</v>
      </c>
      <c r="C31" s="34">
        <f>SUM(C29:C30)</f>
        <v>942154028.46</v>
      </c>
      <c r="D31" s="34">
        <f>SUM(D29:D30)</f>
        <v>431000</v>
      </c>
      <c r="E31" s="34">
        <f>SUM(E29:E30)</f>
        <v>680288942.47</v>
      </c>
      <c r="F31" s="34">
        <f>SUM(F29:F30)</f>
        <v>653691329.2</v>
      </c>
      <c r="G31" s="34">
        <f>F31/E31*100</f>
        <v>96.0902475978179</v>
      </c>
      <c r="H31" s="35"/>
    </row>
    <row r="32" spans="1:8" ht="6.75" customHeight="1" thickBot="1">
      <c r="A32" s="37"/>
      <c r="B32" s="38"/>
      <c r="C32" s="38"/>
      <c r="D32" s="38"/>
      <c r="E32" s="38"/>
      <c r="F32" s="38"/>
      <c r="G32" s="38"/>
      <c r="H32" s="21"/>
    </row>
    <row r="33" spans="1:8" ht="19.5" customHeight="1" thickBot="1">
      <c r="A33" s="39" t="s">
        <v>165</v>
      </c>
      <c r="B33" s="40">
        <f>SUM(B28,B31)</f>
        <v>2047444100</v>
      </c>
      <c r="C33" s="40">
        <f>SUM(C28,C31)</f>
        <v>2690374243.2200003</v>
      </c>
      <c r="D33" s="40">
        <f>SUM(D28,D31)</f>
        <v>43380145.22</v>
      </c>
      <c r="E33" s="40">
        <f>SUM(E28,E31)</f>
        <v>2676626490.7800007</v>
      </c>
      <c r="F33" s="40">
        <f>F28+F29</f>
        <v>2540210561.45</v>
      </c>
      <c r="G33" s="40">
        <f>F33/E33*100</f>
        <v>94.90343797313881</v>
      </c>
      <c r="H33" s="41"/>
    </row>
    <row r="34" spans="1:8" ht="12.75" customHeight="1">
      <c r="A34" s="42" t="s">
        <v>166</v>
      </c>
      <c r="B34" s="19"/>
      <c r="C34" s="19"/>
      <c r="D34" s="19"/>
      <c r="E34" s="19"/>
      <c r="F34" s="19"/>
      <c r="G34" s="19"/>
      <c r="H34" s="21"/>
    </row>
    <row r="35" spans="1:8" ht="12.75" customHeight="1">
      <c r="A35" s="21" t="s">
        <v>167</v>
      </c>
      <c r="B35" s="19">
        <v>30000000</v>
      </c>
      <c r="C35" s="19">
        <v>30000000</v>
      </c>
      <c r="D35" s="19"/>
      <c r="E35" s="19">
        <f>C35+D35</f>
        <v>30000000</v>
      </c>
      <c r="F35" s="19">
        <v>30000000</v>
      </c>
      <c r="G35" s="19">
        <f>F35/E35*100</f>
        <v>100</v>
      </c>
      <c r="H35" s="1182" t="s">
        <v>275</v>
      </c>
    </row>
    <row r="36" spans="1:8" ht="12.75" customHeight="1">
      <c r="A36" s="21"/>
      <c r="B36" s="19"/>
      <c r="C36" s="19"/>
      <c r="D36" s="19"/>
      <c r="E36" s="19"/>
      <c r="F36" s="19"/>
      <c r="G36" s="19"/>
      <c r="H36" s="1182"/>
    </row>
    <row r="37" spans="1:8" ht="12.75" customHeight="1">
      <c r="A37" s="21" t="s">
        <v>168</v>
      </c>
      <c r="B37" s="19">
        <v>0</v>
      </c>
      <c r="C37" s="19"/>
      <c r="D37" s="19"/>
      <c r="E37" s="19">
        <v>500000000</v>
      </c>
      <c r="F37" s="19">
        <v>499999910</v>
      </c>
      <c r="G37" s="19">
        <f>F37/E37*100</f>
        <v>99.999982</v>
      </c>
      <c r="H37" s="30" t="s">
        <v>169</v>
      </c>
    </row>
    <row r="38" spans="1:8" ht="12.75" customHeight="1">
      <c r="A38" s="21" t="s">
        <v>170</v>
      </c>
      <c r="B38" s="19">
        <v>-30000000</v>
      </c>
      <c r="C38" s="19">
        <v>-30000000</v>
      </c>
      <c r="D38" s="19"/>
      <c r="E38" s="19">
        <f>C38+D38</f>
        <v>-30000000</v>
      </c>
      <c r="F38" s="19">
        <v>-30000000</v>
      </c>
      <c r="G38" s="19">
        <f>F38/E38*100</f>
        <v>100</v>
      </c>
      <c r="H38" s="1182" t="s">
        <v>171</v>
      </c>
    </row>
    <row r="39" spans="1:8" ht="12.75" customHeight="1">
      <c r="A39" s="21"/>
      <c r="B39" s="19"/>
      <c r="C39" s="19"/>
      <c r="D39" s="19"/>
      <c r="E39" s="19"/>
      <c r="F39" s="19"/>
      <c r="G39" s="19"/>
      <c r="H39" s="1182"/>
    </row>
    <row r="40" spans="1:9" ht="12.75" customHeight="1">
      <c r="A40" s="21" t="s">
        <v>172</v>
      </c>
      <c r="B40" s="19">
        <v>-96458000</v>
      </c>
      <c r="C40" s="19">
        <v>-110656000</v>
      </c>
      <c r="D40" s="19"/>
      <c r="E40" s="19">
        <v>-96458000</v>
      </c>
      <c r="F40" s="19">
        <v>-96457900</v>
      </c>
      <c r="G40" s="19">
        <f>F40/E40*100</f>
        <v>99.99989632793547</v>
      </c>
      <c r="H40" s="1183" t="s">
        <v>173</v>
      </c>
      <c r="I40" s="1181"/>
    </row>
    <row r="41" spans="1:9" ht="12.75" customHeight="1">
      <c r="A41" s="21"/>
      <c r="B41" s="19"/>
      <c r="C41" s="19"/>
      <c r="D41" s="19"/>
      <c r="E41" s="19"/>
      <c r="F41" s="19"/>
      <c r="G41" s="19"/>
      <c r="H41" s="1183"/>
      <c r="I41" s="1181"/>
    </row>
    <row r="42" spans="1:8" ht="12.75" customHeight="1">
      <c r="A42" s="21"/>
      <c r="B42" s="19"/>
      <c r="C42" s="19"/>
      <c r="D42" s="19"/>
      <c r="E42" s="19"/>
      <c r="F42" s="19"/>
      <c r="G42" s="19"/>
      <c r="H42" s="1184"/>
    </row>
    <row r="43" spans="1:8" ht="12.75" customHeight="1">
      <c r="A43" s="21"/>
      <c r="B43" s="19"/>
      <c r="C43" s="19"/>
      <c r="D43" s="19"/>
      <c r="E43" s="19"/>
      <c r="F43" s="19"/>
      <c r="G43" s="19"/>
      <c r="H43" s="1184"/>
    </row>
    <row r="44" spans="1:8" ht="12.75" customHeight="1">
      <c r="A44" s="21" t="s">
        <v>174</v>
      </c>
      <c r="B44" s="19">
        <v>50000000</v>
      </c>
      <c r="C44" s="19">
        <v>146346453.86</v>
      </c>
      <c r="D44" s="19"/>
      <c r="E44" s="19">
        <v>154626208.83</v>
      </c>
      <c r="F44" s="19">
        <v>111567123.09</v>
      </c>
      <c r="G44" s="19"/>
      <c r="H44" s="30" t="s">
        <v>524</v>
      </c>
    </row>
    <row r="45" spans="1:8" ht="12.75" customHeight="1">
      <c r="A45" s="21"/>
      <c r="B45" s="19"/>
      <c r="C45" s="19"/>
      <c r="D45" s="19"/>
      <c r="E45" s="19"/>
      <c r="F45" s="19"/>
      <c r="G45" s="19"/>
      <c r="H45" s="30"/>
    </row>
    <row r="46" spans="1:8" ht="12.75" customHeight="1" outlineLevel="1" thickBot="1">
      <c r="A46" s="21" t="s">
        <v>175</v>
      </c>
      <c r="B46" s="19">
        <v>0</v>
      </c>
      <c r="C46" s="19">
        <v>0</v>
      </c>
      <c r="D46" s="19"/>
      <c r="E46" s="19">
        <f>C46+D46</f>
        <v>0</v>
      </c>
      <c r="F46" s="19">
        <v>-810177.75</v>
      </c>
      <c r="G46" s="19"/>
      <c r="H46" s="30"/>
    </row>
    <row r="47" spans="1:8" ht="19.5" customHeight="1" thickBot="1">
      <c r="A47" s="43" t="s">
        <v>1143</v>
      </c>
      <c r="B47" s="44">
        <f>SUM(B35:B46)</f>
        <v>-46458000</v>
      </c>
      <c r="C47" s="44">
        <f>SUM(C35:C46)</f>
        <v>35690453.860000014</v>
      </c>
      <c r="D47" s="44">
        <f>SUM(D35:D46)</f>
        <v>0</v>
      </c>
      <c r="E47" s="44">
        <f>SUM(E35:E46)</f>
        <v>558168208.83</v>
      </c>
      <c r="F47" s="44">
        <f>F35+F37+F38+F40+F44+F46+F45</f>
        <v>514298955.34000003</v>
      </c>
      <c r="G47" s="44"/>
      <c r="H47" s="44"/>
    </row>
    <row r="48" spans="1:8" ht="16.5" customHeight="1" thickBot="1">
      <c r="A48" s="45"/>
      <c r="B48" s="46"/>
      <c r="C48" s="46"/>
      <c r="D48" s="46"/>
      <c r="E48" s="46"/>
      <c r="F48" s="46"/>
      <c r="G48" s="47"/>
      <c r="H48" s="46"/>
    </row>
    <row r="49" spans="1:8" ht="19.5" customHeight="1" thickBot="1">
      <c r="A49" s="48" t="s">
        <v>1144</v>
      </c>
      <c r="B49" s="49">
        <v>2093902100</v>
      </c>
      <c r="C49" s="49">
        <v>2597506827.78</v>
      </c>
      <c r="D49" s="49">
        <v>43382833.22</v>
      </c>
      <c r="E49" s="49">
        <v>2118458281.95</v>
      </c>
      <c r="F49" s="49">
        <v>2025911606.11</v>
      </c>
      <c r="G49" s="49">
        <f>F49/E49*100</f>
        <v>95.63141381501208</v>
      </c>
      <c r="H49" s="49"/>
    </row>
    <row r="50" spans="1:8" ht="18.75" customHeight="1" thickBot="1">
      <c r="A50" s="50" t="s">
        <v>1145</v>
      </c>
      <c r="B50" s="51"/>
      <c r="C50" s="51"/>
      <c r="D50" s="51"/>
      <c r="E50" s="51"/>
      <c r="F50" s="51"/>
      <c r="G50" s="51"/>
      <c r="H50" s="51"/>
    </row>
    <row r="51" spans="1:8" ht="19.5" customHeight="1" thickBot="1">
      <c r="A51" s="48" t="s">
        <v>1146</v>
      </c>
      <c r="B51" s="49">
        <f aca="true" t="shared" si="2" ref="B51:G51">B49</f>
        <v>2093902100</v>
      </c>
      <c r="C51" s="49">
        <f t="shared" si="2"/>
        <v>2597506827.78</v>
      </c>
      <c r="D51" s="49">
        <f t="shared" si="2"/>
        <v>43382833.22</v>
      </c>
      <c r="E51" s="49">
        <f t="shared" si="2"/>
        <v>2118458281.95</v>
      </c>
      <c r="F51" s="49">
        <f t="shared" si="2"/>
        <v>2025911606.11</v>
      </c>
      <c r="G51" s="49">
        <f t="shared" si="2"/>
        <v>95.63141381501208</v>
      </c>
      <c r="H51" s="49"/>
    </row>
    <row r="52" spans="1:8" ht="19.5" customHeight="1" thickBot="1">
      <c r="A52" s="39" t="s">
        <v>1147</v>
      </c>
      <c r="B52" s="40">
        <f aca="true" t="shared" si="3" ref="B52:G52">B33</f>
        <v>2047444100</v>
      </c>
      <c r="C52" s="40">
        <f t="shared" si="3"/>
        <v>2690374243.2200003</v>
      </c>
      <c r="D52" s="40">
        <f t="shared" si="3"/>
        <v>43380145.22</v>
      </c>
      <c r="E52" s="40">
        <f t="shared" si="3"/>
        <v>2676626490.7800007</v>
      </c>
      <c r="F52" s="40">
        <f t="shared" si="3"/>
        <v>2540210561.45</v>
      </c>
      <c r="G52" s="40">
        <f t="shared" si="3"/>
        <v>94.90343797313881</v>
      </c>
      <c r="H52" s="40"/>
    </row>
    <row r="53" spans="1:8" ht="19.5" customHeight="1" thickBot="1">
      <c r="A53" s="43" t="s">
        <v>1148</v>
      </c>
      <c r="B53" s="44">
        <f>B52-B51</f>
        <v>-46458000</v>
      </c>
      <c r="C53" s="44">
        <f>C52-C51</f>
        <v>92867415.44000006</v>
      </c>
      <c r="D53" s="44">
        <f>D52-D51</f>
        <v>-2688</v>
      </c>
      <c r="E53" s="44">
        <f>E52-E51</f>
        <v>558168208.8300006</v>
      </c>
      <c r="F53" s="44">
        <f>F52-F51</f>
        <v>514298955.3399999</v>
      </c>
      <c r="G53" s="44"/>
      <c r="H53" s="44"/>
    </row>
    <row r="55" ht="12.75">
      <c r="B55" s="22"/>
    </row>
  </sheetData>
  <mergeCells count="4">
    <mergeCell ref="I40:I41"/>
    <mergeCell ref="H35:H36"/>
    <mergeCell ref="H38:H39"/>
    <mergeCell ref="H40:H43"/>
  </mergeCells>
  <printOptions gridLines="1" horizontalCentered="1"/>
  <pageMargins left="0.48" right="0.25" top="1.13" bottom="0.7874015748031497" header="0.73" footer="0.3937007874015748"/>
  <pageSetup horizontalDpi="300" verticalDpi="300" orientation="portrait" paperSize="9" scale="90" r:id="rId1"/>
  <headerFooter alignWithMargins="0">
    <oddHeader>&amp;Lv Kč&amp;C&amp;"Arial CE,Tučné"&amp;12Rekapitulace příjmů, výdajů a financování roku 2009&amp;"Arial CE,Obyčejné"&amp;10
&amp;RPříloha č. 1</oddHeader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B1">
      <selection activeCell="D15" sqref="D15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180"/>
      <c r="H2" s="1180"/>
    </row>
    <row r="3" spans="1:8" ht="12.75">
      <c r="A3" s="911" t="s">
        <v>508</v>
      </c>
      <c r="C3" s="1025" t="s">
        <v>288</v>
      </c>
      <c r="G3" s="1180" t="s">
        <v>551</v>
      </c>
      <c r="H3" s="1180"/>
    </row>
    <row r="4" spans="1:8" ht="12.75">
      <c r="A4" s="911" t="s">
        <v>496</v>
      </c>
      <c r="C4" s="1025" t="s">
        <v>896</v>
      </c>
      <c r="G4" s="1212"/>
      <c r="H4" s="1212"/>
    </row>
    <row r="5" spans="1:8" ht="12.75">
      <c r="A5" s="911" t="s">
        <v>509</v>
      </c>
      <c r="C5" s="1025" t="s">
        <v>47</v>
      </c>
      <c r="G5" s="1212" t="s">
        <v>504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628081</v>
      </c>
      <c r="E15" s="1038">
        <f>SUM(E17:E21)</f>
        <v>628081</v>
      </c>
      <c r="F15" s="1039">
        <f>SUM(F17:F21)</f>
        <v>0</v>
      </c>
      <c r="G15" s="1038">
        <f>SUM(G17:G21)</f>
        <v>628081</v>
      </c>
      <c r="H15" s="1038">
        <f>SUM(H17:H21)</f>
        <v>0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50">
        <v>29004</v>
      </c>
      <c r="C17" s="1045" t="s">
        <v>48</v>
      </c>
      <c r="D17" s="1043">
        <v>29350</v>
      </c>
      <c r="E17" s="1043">
        <v>29350</v>
      </c>
      <c r="F17" s="1043">
        <v>0</v>
      </c>
      <c r="G17" s="1043">
        <v>29350</v>
      </c>
      <c r="H17" s="1043">
        <f>D17-F17-G17</f>
        <v>0</v>
      </c>
    </row>
    <row r="18" spans="1:8" ht="12.75">
      <c r="A18" s="1040"/>
      <c r="B18" s="1050">
        <v>29008</v>
      </c>
      <c r="C18" s="1046" t="s">
        <v>49</v>
      </c>
      <c r="D18" s="1043">
        <v>598731</v>
      </c>
      <c r="E18" s="1043">
        <v>598731</v>
      </c>
      <c r="F18" s="1043">
        <v>0</v>
      </c>
      <c r="G18" s="1043">
        <v>598731</v>
      </c>
      <c r="H18" s="1043">
        <f>D18-F18-G18</f>
        <v>0</v>
      </c>
    </row>
    <row r="19" spans="1:8" ht="12.75">
      <c r="A19" s="1040"/>
      <c r="B19" s="1050"/>
      <c r="C19" s="1046"/>
      <c r="D19" s="1043"/>
      <c r="E19" s="1043"/>
      <c r="F19" s="1043"/>
      <c r="G19" s="1043"/>
      <c r="H19" s="1043"/>
    </row>
    <row r="20" spans="1:8" ht="12.75">
      <c r="A20" s="1040"/>
      <c r="B20" s="1041"/>
      <c r="C20" s="1046"/>
      <c r="D20" s="1043"/>
      <c r="E20" s="1043"/>
      <c r="F20" s="1043"/>
      <c r="G20" s="1043"/>
      <c r="H20" s="1043"/>
    </row>
    <row r="21" spans="1:8" ht="13.5" thickBot="1">
      <c r="A21" s="1040"/>
      <c r="B21" s="1041"/>
      <c r="C21" s="1047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490589</v>
      </c>
      <c r="E22" s="1038">
        <f>SUM(E24:E26)</f>
        <v>490589</v>
      </c>
      <c r="F22" s="1038">
        <f>SUM(F24:F26)</f>
        <v>0</v>
      </c>
      <c r="G22" s="1038">
        <f>SUM(G24:G26)</f>
        <v>490589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50">
        <v>29516</v>
      </c>
      <c r="C24" s="1046" t="s">
        <v>50</v>
      </c>
      <c r="D24" s="1043">
        <v>490589</v>
      </c>
      <c r="E24" s="1043">
        <v>490589</v>
      </c>
      <c r="F24" s="1043">
        <v>0</v>
      </c>
      <c r="G24" s="1043">
        <v>490589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1118670</v>
      </c>
      <c r="E32" s="1048">
        <f>E15+E22+E27</f>
        <v>1118670</v>
      </c>
      <c r="F32" s="1048">
        <f>F15+F22+F27</f>
        <v>0</v>
      </c>
      <c r="G32" s="1048">
        <f>G15+G22+G27</f>
        <v>1118670</v>
      </c>
      <c r="H32" s="1048">
        <f>H15+H22+H27</f>
        <v>0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062" t="s">
        <v>258</v>
      </c>
      <c r="F48" s="911" t="s">
        <v>257</v>
      </c>
      <c r="G48" s="1062" t="s">
        <v>258</v>
      </c>
    </row>
  </sheetData>
  <mergeCells count="9"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4" sqref="C4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180"/>
      <c r="H2" s="1180"/>
    </row>
    <row r="3" spans="1:8" ht="12.75">
      <c r="A3" s="911" t="s">
        <v>688</v>
      </c>
      <c r="C3" s="1025" t="s">
        <v>288</v>
      </c>
      <c r="G3" s="1180" t="s">
        <v>551</v>
      </c>
      <c r="H3" s="1180"/>
    </row>
    <row r="4" spans="1:8" ht="14.25">
      <c r="A4" s="911" t="s">
        <v>490</v>
      </c>
      <c r="C4" s="1025" t="s">
        <v>896</v>
      </c>
      <c r="G4" s="1212"/>
      <c r="H4" s="1212"/>
    </row>
    <row r="5" spans="1:8" ht="12.75">
      <c r="A5" s="911" t="s">
        <v>552</v>
      </c>
      <c r="C5" s="1025" t="s">
        <v>686</v>
      </c>
      <c r="G5" s="1212" t="s">
        <v>504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2731355</v>
      </c>
      <c r="E15" s="1038">
        <f>SUM(E17:E21)</f>
        <v>2731355</v>
      </c>
      <c r="F15" s="1039">
        <f>SUM(F17:F21)</f>
        <v>0</v>
      </c>
      <c r="G15" s="1038">
        <f>SUM(G17:G21)</f>
        <v>2731355</v>
      </c>
      <c r="H15" s="1038">
        <f>SUM(H17:H21)</f>
        <v>0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50"/>
      <c r="C17" s="1045"/>
      <c r="D17" s="1043"/>
      <c r="E17" s="1043"/>
      <c r="F17" s="1043"/>
      <c r="G17" s="1043"/>
      <c r="H17" s="1043"/>
    </row>
    <row r="18" spans="1:8" ht="12.75">
      <c r="A18" s="1040"/>
      <c r="B18" s="1050">
        <v>15065</v>
      </c>
      <c r="C18" s="1046" t="s">
        <v>687</v>
      </c>
      <c r="D18" s="1043">
        <v>2731355</v>
      </c>
      <c r="E18" s="1043">
        <v>2731355</v>
      </c>
      <c r="F18" s="1043">
        <v>0</v>
      </c>
      <c r="G18" s="1043">
        <v>2731355</v>
      </c>
      <c r="H18" s="1043">
        <f>D18-F18-G18</f>
        <v>0</v>
      </c>
    </row>
    <row r="19" spans="1:8" ht="12.75">
      <c r="A19" s="1040"/>
      <c r="B19" s="1041"/>
      <c r="C19" s="1046"/>
      <c r="D19" s="1043"/>
      <c r="E19" s="1043"/>
      <c r="F19" s="1043"/>
      <c r="G19" s="1043"/>
      <c r="H19" s="1043"/>
    </row>
    <row r="20" spans="1:8" ht="12.75">
      <c r="A20" s="1040"/>
      <c r="B20" s="1041"/>
      <c r="C20" s="1046"/>
      <c r="D20" s="1043"/>
      <c r="E20" s="1043"/>
      <c r="F20" s="1043"/>
      <c r="G20" s="1043"/>
      <c r="H20" s="1043"/>
    </row>
    <row r="21" spans="1:8" ht="13.5" thickBot="1">
      <c r="A21" s="1040"/>
      <c r="B21" s="1041"/>
      <c r="C21" s="1047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0</v>
      </c>
      <c r="E22" s="1038">
        <f>SUM(E24:E26)</f>
        <v>0</v>
      </c>
      <c r="F22" s="1038">
        <f>SUM(F24:F26)</f>
        <v>0</v>
      </c>
      <c r="G22" s="1038">
        <f>SUM(G24:G26)</f>
        <v>0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41"/>
      <c r="C24" s="1046" t="s">
        <v>507</v>
      </c>
      <c r="D24" s="1043">
        <v>0</v>
      </c>
      <c r="E24" s="1043">
        <v>0</v>
      </c>
      <c r="F24" s="1043">
        <v>0</v>
      </c>
      <c r="G24" s="1043">
        <v>0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2731355</v>
      </c>
      <c r="E32" s="1048">
        <f>E15+E22+E27</f>
        <v>2731355</v>
      </c>
      <c r="F32" s="1048">
        <f>F15+F22+F27</f>
        <v>0</v>
      </c>
      <c r="G32" s="1048">
        <f>G15+G22+G27</f>
        <v>2731355</v>
      </c>
      <c r="H32" s="1048">
        <f>H15+H22+H27</f>
        <v>0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062" t="s">
        <v>258</v>
      </c>
      <c r="F48" s="911" t="s">
        <v>257</v>
      </c>
      <c r="G48" s="1062" t="s">
        <v>258</v>
      </c>
    </row>
  </sheetData>
  <mergeCells count="9"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30" sqref="A30"/>
    </sheetView>
  </sheetViews>
  <sheetFormatPr defaultColWidth="9.00390625" defaultRowHeight="12.75"/>
  <cols>
    <col min="1" max="1" width="17.00390625" style="911" customWidth="1"/>
    <col min="2" max="2" width="8.125" style="911" customWidth="1"/>
    <col min="3" max="3" width="50.375" style="911" customWidth="1"/>
    <col min="4" max="5" width="17.00390625" style="911" customWidth="1"/>
    <col min="6" max="7" width="17.25390625" style="911" customWidth="1"/>
    <col min="8" max="8" width="17.75390625" style="911" customWidth="1"/>
    <col min="9" max="9" width="17.625" style="911" customWidth="1"/>
    <col min="10" max="16384" width="9.125" style="911" customWidth="1"/>
  </cols>
  <sheetData>
    <row r="1" spans="1:9" ht="12.75">
      <c r="A1" s="1021"/>
      <c r="B1" s="1022"/>
      <c r="D1" s="1099"/>
      <c r="E1" s="1099"/>
      <c r="I1" s="1021"/>
    </row>
    <row r="2" spans="2:9" ht="12.75">
      <c r="B2" s="1024"/>
      <c r="C2" s="1121"/>
      <c r="D2" s="1099"/>
      <c r="E2" s="1099"/>
      <c r="H2" s="1180"/>
      <c r="I2" s="1180"/>
    </row>
    <row r="3" spans="1:9" ht="12.75">
      <c r="A3" s="911" t="s">
        <v>508</v>
      </c>
      <c r="C3" s="1025" t="s">
        <v>288</v>
      </c>
      <c r="H3" s="1180" t="s">
        <v>689</v>
      </c>
      <c r="I3" s="1180"/>
    </row>
    <row r="4" spans="1:9" ht="14.25">
      <c r="A4" s="911" t="s">
        <v>703</v>
      </c>
      <c r="H4" s="1180"/>
      <c r="I4" s="1180"/>
    </row>
    <row r="5" spans="1:3" ht="12.75">
      <c r="A5" s="911" t="s">
        <v>704</v>
      </c>
      <c r="C5" s="1025" t="s">
        <v>690</v>
      </c>
    </row>
    <row r="7" spans="1:9" ht="12.75">
      <c r="A7" s="1215" t="s">
        <v>691</v>
      </c>
      <c r="B7" s="1215"/>
      <c r="C7" s="1215"/>
      <c r="D7" s="1215"/>
      <c r="E7" s="1215"/>
      <c r="F7" s="1215"/>
      <c r="G7" s="1215"/>
      <c r="H7" s="1215"/>
      <c r="I7" s="1215"/>
    </row>
    <row r="8" spans="1:9" ht="12.75">
      <c r="A8" s="1216" t="s">
        <v>705</v>
      </c>
      <c r="B8" s="1216"/>
      <c r="C8" s="1216"/>
      <c r="D8" s="1216"/>
      <c r="E8" s="1216"/>
      <c r="F8" s="1216"/>
      <c r="G8" s="1216"/>
      <c r="H8" s="1216"/>
      <c r="I8" s="1216"/>
    </row>
    <row r="9" spans="1:9" ht="12.75">
      <c r="A9" s="1211" t="s">
        <v>692</v>
      </c>
      <c r="B9" s="1211"/>
      <c r="C9" s="1211"/>
      <c r="D9" s="1211"/>
      <c r="E9" s="1211"/>
      <c r="F9" s="1211"/>
      <c r="G9" s="1211"/>
      <c r="H9" s="1211"/>
      <c r="I9" s="1211"/>
    </row>
    <row r="10" spans="2:9" ht="12.75">
      <c r="B10" s="943"/>
      <c r="C10" s="1176"/>
      <c r="D10" s="1176"/>
      <c r="E10" s="1176"/>
      <c r="F10" s="1176"/>
      <c r="G10" s="1176"/>
      <c r="H10" s="1176"/>
      <c r="I10" s="1176"/>
    </row>
    <row r="11" spans="4:9" ht="13.5" thickBot="1">
      <c r="D11" s="944"/>
      <c r="E11" s="732"/>
      <c r="F11" s="732"/>
      <c r="G11" s="732"/>
      <c r="H11" s="732"/>
      <c r="I11" s="945" t="s">
        <v>204</v>
      </c>
    </row>
    <row r="12" spans="1:9" s="949" customFormat="1" ht="90" thickBot="1">
      <c r="A12" s="1026" t="s">
        <v>558</v>
      </c>
      <c r="B12" s="1026" t="s">
        <v>559</v>
      </c>
      <c r="C12" s="1028" t="s">
        <v>206</v>
      </c>
      <c r="D12" s="1122" t="s">
        <v>693</v>
      </c>
      <c r="E12" s="1029" t="s">
        <v>208</v>
      </c>
      <c r="F12" s="1029" t="s">
        <v>706</v>
      </c>
      <c r="G12" s="1029" t="s">
        <v>694</v>
      </c>
      <c r="H12" s="1029" t="s">
        <v>560</v>
      </c>
      <c r="I12" s="1029" t="s">
        <v>561</v>
      </c>
    </row>
    <row r="13" spans="1:9" ht="13.5" thickBot="1">
      <c r="A13" s="1031" t="s">
        <v>210</v>
      </c>
      <c r="B13" s="1031" t="s">
        <v>211</v>
      </c>
      <c r="C13" s="1033" t="s">
        <v>562</v>
      </c>
      <c r="D13" s="1123">
        <v>1</v>
      </c>
      <c r="E13" s="1033">
        <v>2</v>
      </c>
      <c r="F13" s="1033">
        <v>3</v>
      </c>
      <c r="G13" s="1033">
        <v>4</v>
      </c>
      <c r="H13" s="1033">
        <v>5</v>
      </c>
      <c r="I13" s="1033" t="s">
        <v>695</v>
      </c>
    </row>
    <row r="14" spans="1:9" ht="13.5" thickBot="1">
      <c r="A14" s="1035"/>
      <c r="B14" s="1033"/>
      <c r="C14" s="1037" t="s">
        <v>213</v>
      </c>
      <c r="D14" s="1038">
        <f aca="true" t="shared" si="0" ref="D14:I14">SUM(D16:D20)</f>
        <v>1310000</v>
      </c>
      <c r="E14" s="1038">
        <f t="shared" si="0"/>
        <v>1310000</v>
      </c>
      <c r="F14" s="1038">
        <f t="shared" si="0"/>
        <v>0</v>
      </c>
      <c r="G14" s="1038">
        <f t="shared" si="0"/>
        <v>0</v>
      </c>
      <c r="H14" s="1038">
        <f t="shared" si="0"/>
        <v>1310000</v>
      </c>
      <c r="I14" s="1038">
        <f t="shared" si="0"/>
        <v>0</v>
      </c>
    </row>
    <row r="15" spans="1:9" ht="12.75">
      <c r="A15" s="1040"/>
      <c r="B15" s="1124"/>
      <c r="C15" s="1042" t="s">
        <v>214</v>
      </c>
      <c r="D15" s="1043"/>
      <c r="E15" s="1043"/>
      <c r="F15" s="1043"/>
      <c r="G15" s="1043"/>
      <c r="H15" s="1043"/>
      <c r="I15" s="1044"/>
    </row>
    <row r="16" spans="1:9" ht="12.75" customHeight="1">
      <c r="A16" s="1040"/>
      <c r="B16" s="1124">
        <v>7121</v>
      </c>
      <c r="C16" s="1046" t="s">
        <v>696</v>
      </c>
      <c r="D16" s="1125">
        <v>1310000</v>
      </c>
      <c r="E16" s="1125">
        <v>1310000</v>
      </c>
      <c r="F16" s="1125">
        <v>0</v>
      </c>
      <c r="G16" s="1125">
        <v>0</v>
      </c>
      <c r="H16" s="1125">
        <v>1310000</v>
      </c>
      <c r="I16" s="1043">
        <f>E16-F16-G16-H16</f>
        <v>0</v>
      </c>
    </row>
    <row r="17" spans="1:9" ht="12.75">
      <c r="A17" s="1040"/>
      <c r="B17" s="1124"/>
      <c r="C17" s="1046"/>
      <c r="D17" s="1043"/>
      <c r="E17" s="1043"/>
      <c r="F17" s="1043"/>
      <c r="G17" s="1043"/>
      <c r="H17" s="1043"/>
      <c r="I17" s="1043"/>
    </row>
    <row r="18" spans="1:9" ht="12.75">
      <c r="A18" s="1040"/>
      <c r="B18" s="1124"/>
      <c r="C18" s="1046"/>
      <c r="D18" s="1043"/>
      <c r="E18" s="1043"/>
      <c r="F18" s="1043"/>
      <c r="G18" s="1043"/>
      <c r="H18" s="1043"/>
      <c r="I18" s="1043"/>
    </row>
    <row r="19" spans="1:9" ht="12.75">
      <c r="A19" s="1040"/>
      <c r="B19" s="1124"/>
      <c r="C19" s="1046"/>
      <c r="D19" s="1043"/>
      <c r="E19" s="1043"/>
      <c r="F19" s="1043"/>
      <c r="G19" s="1043"/>
      <c r="H19" s="1043"/>
      <c r="I19" s="1043"/>
    </row>
    <row r="20" spans="1:9" ht="13.5" thickBot="1">
      <c r="A20" s="1040"/>
      <c r="B20" s="1126"/>
      <c r="C20" s="1047"/>
      <c r="D20" s="1048"/>
      <c r="E20" s="1048"/>
      <c r="F20" s="1048"/>
      <c r="G20" s="1048"/>
      <c r="H20" s="1048"/>
      <c r="I20" s="1048"/>
    </row>
    <row r="21" spans="1:9" ht="13.5" thickBot="1">
      <c r="A21" s="1035"/>
      <c r="B21" s="1033"/>
      <c r="C21" s="1049" t="s">
        <v>248</v>
      </c>
      <c r="D21" s="1038">
        <f aca="true" t="shared" si="1" ref="D21:I21">SUM(D23:D25)</f>
        <v>0</v>
      </c>
      <c r="E21" s="1038">
        <f t="shared" si="1"/>
        <v>0</v>
      </c>
      <c r="F21" s="1038">
        <f t="shared" si="1"/>
        <v>0</v>
      </c>
      <c r="G21" s="1038">
        <f t="shared" si="1"/>
        <v>0</v>
      </c>
      <c r="H21" s="1038">
        <f t="shared" si="1"/>
        <v>0</v>
      </c>
      <c r="I21" s="1038">
        <f t="shared" si="1"/>
        <v>0</v>
      </c>
    </row>
    <row r="22" spans="1:9" ht="12.75">
      <c r="A22" s="1040"/>
      <c r="B22" s="1124"/>
      <c r="C22" s="1042" t="s">
        <v>214</v>
      </c>
      <c r="D22" s="1043"/>
      <c r="E22" s="1043"/>
      <c r="F22" s="1043"/>
      <c r="G22" s="1043"/>
      <c r="H22" s="1043"/>
      <c r="I22" s="1043"/>
    </row>
    <row r="23" spans="1:9" s="949" customFormat="1" ht="15" customHeight="1">
      <c r="A23" s="1040"/>
      <c r="B23" s="1127"/>
      <c r="C23" s="1046" t="s">
        <v>507</v>
      </c>
      <c r="D23" s="1125">
        <v>0</v>
      </c>
      <c r="E23" s="1125">
        <v>0</v>
      </c>
      <c r="F23" s="1125">
        <v>0</v>
      </c>
      <c r="G23" s="1125">
        <v>0</v>
      </c>
      <c r="H23" s="1125">
        <v>0</v>
      </c>
      <c r="I23" s="1043">
        <f>E23-F23-G23-H23</f>
        <v>0</v>
      </c>
    </row>
    <row r="24" spans="1:9" ht="12.75" customHeight="1">
      <c r="A24" s="1040"/>
      <c r="B24" s="1127"/>
      <c r="C24" s="1046"/>
      <c r="D24" s="1128"/>
      <c r="E24" s="1128"/>
      <c r="F24" s="1128"/>
      <c r="G24" s="1128"/>
      <c r="H24" s="1128"/>
      <c r="I24" s="1128"/>
    </row>
    <row r="25" spans="1:9" ht="13.5" thickBot="1">
      <c r="A25" s="1051"/>
      <c r="B25" s="1126"/>
      <c r="C25" s="1046"/>
      <c r="D25" s="1048"/>
      <c r="E25" s="1048"/>
      <c r="F25" s="1048"/>
      <c r="G25" s="1048"/>
      <c r="H25" s="1048"/>
      <c r="I25" s="1048"/>
    </row>
    <row r="26" spans="1:9" ht="13.5" thickBot="1">
      <c r="A26" s="1035"/>
      <c r="B26" s="1033"/>
      <c r="C26" s="1049" t="s">
        <v>494</v>
      </c>
      <c r="D26" s="1038">
        <f aca="true" t="shared" si="2" ref="D26:I26">SUM(D28:D30)</f>
        <v>0</v>
      </c>
      <c r="E26" s="1038">
        <f t="shared" si="2"/>
        <v>0</v>
      </c>
      <c r="F26" s="1038">
        <f t="shared" si="2"/>
        <v>0</v>
      </c>
      <c r="G26" s="1038">
        <f t="shared" si="2"/>
        <v>0</v>
      </c>
      <c r="H26" s="1038">
        <f t="shared" si="2"/>
        <v>0</v>
      </c>
      <c r="I26" s="1038">
        <f t="shared" si="2"/>
        <v>0</v>
      </c>
    </row>
    <row r="27" spans="1:9" ht="12.75">
      <c r="A27" s="1040"/>
      <c r="B27" s="1124"/>
      <c r="C27" s="1045" t="s">
        <v>214</v>
      </c>
      <c r="D27" s="1043"/>
      <c r="E27" s="1043"/>
      <c r="F27" s="1043"/>
      <c r="G27" s="1043"/>
      <c r="H27" s="1043"/>
      <c r="I27" s="1043"/>
    </row>
    <row r="28" spans="1:9" ht="12.75">
      <c r="A28" s="1040"/>
      <c r="B28" s="1127"/>
      <c r="C28" s="1045" t="s">
        <v>566</v>
      </c>
      <c r="D28" s="1043">
        <v>0</v>
      </c>
      <c r="E28" s="1043">
        <v>0</v>
      </c>
      <c r="F28" s="1043">
        <v>0</v>
      </c>
      <c r="G28" s="1043">
        <v>0</v>
      </c>
      <c r="H28" s="1043">
        <v>0</v>
      </c>
      <c r="I28" s="1043">
        <f>E28-F28-G28-H28</f>
        <v>0</v>
      </c>
    </row>
    <row r="29" spans="1:9" ht="12.75">
      <c r="A29" s="1051"/>
      <c r="B29" s="1127"/>
      <c r="C29" s="1046"/>
      <c r="D29" s="1043"/>
      <c r="E29" s="1043"/>
      <c r="F29" s="1043"/>
      <c r="G29" s="1043"/>
      <c r="H29" s="1043"/>
      <c r="I29" s="1043"/>
    </row>
    <row r="30" spans="1:9" ht="13.5" thickBot="1">
      <c r="A30" s="1051"/>
      <c r="B30" s="1129"/>
      <c r="C30" s="1047"/>
      <c r="D30" s="1048"/>
      <c r="E30" s="1048"/>
      <c r="F30" s="1048"/>
      <c r="G30" s="1048"/>
      <c r="H30" s="1048"/>
      <c r="I30" s="1048"/>
    </row>
    <row r="31" spans="1:9" ht="26.25" thickBot="1">
      <c r="A31" s="1053"/>
      <c r="B31" s="1129"/>
      <c r="C31" s="1054" t="s">
        <v>697</v>
      </c>
      <c r="D31" s="1048">
        <f aca="true" t="shared" si="3" ref="D31:I31">D14+D21+D26</f>
        <v>1310000</v>
      </c>
      <c r="E31" s="1048">
        <f t="shared" si="3"/>
        <v>1310000</v>
      </c>
      <c r="F31" s="1048">
        <f t="shared" si="3"/>
        <v>0</v>
      </c>
      <c r="G31" s="1048">
        <f t="shared" si="3"/>
        <v>0</v>
      </c>
      <c r="H31" s="1048">
        <f t="shared" si="3"/>
        <v>1310000</v>
      </c>
      <c r="I31" s="1048">
        <f t="shared" si="3"/>
        <v>0</v>
      </c>
    </row>
    <row r="32" ht="12.75">
      <c r="C32" s="879"/>
    </row>
    <row r="33" spans="1:3" ht="12.75">
      <c r="A33" s="911" t="s">
        <v>250</v>
      </c>
      <c r="C33" s="879"/>
    </row>
    <row r="34" spans="1:9" ht="14.25">
      <c r="A34" s="1115" t="s">
        <v>707</v>
      </c>
      <c r="C34" s="879"/>
      <c r="D34" s="54"/>
      <c r="E34" s="54"/>
      <c r="F34" s="54"/>
      <c r="G34" s="54"/>
      <c r="H34" s="54"/>
      <c r="I34" s="54"/>
    </row>
    <row r="35" spans="1:9" ht="12.75">
      <c r="A35" s="911" t="s">
        <v>568</v>
      </c>
      <c r="C35" s="879"/>
      <c r="D35" s="54"/>
      <c r="E35" s="54"/>
      <c r="F35" s="54"/>
      <c r="G35" s="54"/>
      <c r="H35" s="54"/>
      <c r="I35" s="54"/>
    </row>
    <row r="36" spans="1:3" ht="12.75">
      <c r="A36" s="54" t="s">
        <v>530</v>
      </c>
      <c r="C36" s="879"/>
    </row>
    <row r="37" spans="1:3" ht="12.75">
      <c r="A37" s="911" t="s">
        <v>570</v>
      </c>
      <c r="C37" s="879"/>
    </row>
    <row r="38" spans="1:3" ht="12.75">
      <c r="A38" s="911" t="s">
        <v>698</v>
      </c>
      <c r="C38" s="879"/>
    </row>
    <row r="39" spans="1:3" ht="12.75">
      <c r="A39" s="911" t="s">
        <v>699</v>
      </c>
      <c r="C39" s="879"/>
    </row>
    <row r="40" spans="1:3" ht="12.75">
      <c r="A40" s="911" t="s">
        <v>700</v>
      </c>
      <c r="C40" s="879"/>
    </row>
    <row r="41" spans="1:3" ht="12.75">
      <c r="A41" s="911" t="s">
        <v>701</v>
      </c>
      <c r="C41" s="879"/>
    </row>
    <row r="42" spans="1:3" ht="12.75">
      <c r="A42" s="911" t="s">
        <v>702</v>
      </c>
      <c r="C42" s="879"/>
    </row>
    <row r="43" ht="12.75">
      <c r="C43" s="879"/>
    </row>
    <row r="44" ht="12.75">
      <c r="A44" s="1089" t="s">
        <v>489</v>
      </c>
    </row>
    <row r="46" ht="12.75">
      <c r="A46" s="752"/>
    </row>
    <row r="47" spans="1:8" ht="12.75">
      <c r="A47" s="911" t="s">
        <v>254</v>
      </c>
      <c r="B47" s="911" t="s">
        <v>255</v>
      </c>
      <c r="G47" s="911" t="s">
        <v>256</v>
      </c>
      <c r="H47" s="911" t="s">
        <v>303</v>
      </c>
    </row>
    <row r="48" spans="1:8" ht="12.75">
      <c r="A48" s="911" t="s">
        <v>257</v>
      </c>
      <c r="B48" s="1062" t="s">
        <v>258</v>
      </c>
      <c r="G48" s="911" t="s">
        <v>257</v>
      </c>
      <c r="H48" s="1062" t="s">
        <v>258</v>
      </c>
    </row>
  </sheetData>
  <mergeCells count="7">
    <mergeCell ref="C10:I10"/>
    <mergeCell ref="H2:I2"/>
    <mergeCell ref="A7:I7"/>
    <mergeCell ref="A8:I8"/>
    <mergeCell ref="A9:I9"/>
    <mergeCell ref="H4:I4"/>
    <mergeCell ref="H3:I3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D57" sqref="D57"/>
    </sheetView>
  </sheetViews>
  <sheetFormatPr defaultColWidth="9.00390625" defaultRowHeight="12.75"/>
  <cols>
    <col min="1" max="1" width="17.00390625" style="911" customWidth="1"/>
    <col min="2" max="2" width="8.125" style="911" customWidth="1"/>
    <col min="3" max="3" width="50.375" style="911" customWidth="1"/>
    <col min="4" max="5" width="17.00390625" style="911" customWidth="1"/>
    <col min="6" max="7" width="17.25390625" style="911" customWidth="1"/>
    <col min="8" max="8" width="17.75390625" style="911" customWidth="1"/>
    <col min="9" max="9" width="17.625" style="911" customWidth="1"/>
    <col min="10" max="16384" width="9.125" style="911" customWidth="1"/>
  </cols>
  <sheetData>
    <row r="1" spans="1:9" ht="12.75">
      <c r="A1" s="1021"/>
      <c r="B1" s="1022"/>
      <c r="D1" s="1099"/>
      <c r="E1" s="1099"/>
      <c r="I1" s="1021"/>
    </row>
    <row r="2" spans="2:9" ht="12.75">
      <c r="B2" s="1024"/>
      <c r="C2" s="1121"/>
      <c r="D2" s="1099"/>
      <c r="E2" s="1099"/>
      <c r="H2" s="1180"/>
      <c r="I2" s="1180"/>
    </row>
    <row r="3" spans="1:9" ht="12.75">
      <c r="A3" s="911" t="s">
        <v>508</v>
      </c>
      <c r="C3" s="1025" t="s">
        <v>288</v>
      </c>
      <c r="H3" s="1180" t="s">
        <v>689</v>
      </c>
      <c r="I3" s="1180"/>
    </row>
    <row r="4" ht="14.25">
      <c r="A4" s="911" t="s">
        <v>703</v>
      </c>
    </row>
    <row r="5" spans="1:3" ht="12.75">
      <c r="A5" s="911" t="s">
        <v>704</v>
      </c>
      <c r="C5" s="1025" t="s">
        <v>503</v>
      </c>
    </row>
    <row r="7" spans="1:9" ht="12.75">
      <c r="A7" s="1215" t="s">
        <v>691</v>
      </c>
      <c r="B7" s="1215"/>
      <c r="C7" s="1215"/>
      <c r="D7" s="1215"/>
      <c r="E7" s="1215"/>
      <c r="F7" s="1215"/>
      <c r="G7" s="1215"/>
      <c r="H7" s="1215"/>
      <c r="I7" s="1215"/>
    </row>
    <row r="8" spans="1:9" ht="12.75">
      <c r="A8" s="1216" t="s">
        <v>705</v>
      </c>
      <c r="B8" s="1216"/>
      <c r="C8" s="1216"/>
      <c r="D8" s="1216"/>
      <c r="E8" s="1216"/>
      <c r="F8" s="1216"/>
      <c r="G8" s="1216"/>
      <c r="H8" s="1216"/>
      <c r="I8" s="1216"/>
    </row>
    <row r="9" spans="1:9" ht="12.75">
      <c r="A9" s="1211" t="s">
        <v>692</v>
      </c>
      <c r="B9" s="1211"/>
      <c r="C9" s="1211"/>
      <c r="D9" s="1211"/>
      <c r="E9" s="1211"/>
      <c r="F9" s="1211"/>
      <c r="G9" s="1211"/>
      <c r="H9" s="1211"/>
      <c r="I9" s="1211"/>
    </row>
    <row r="10" spans="2:9" ht="12.75">
      <c r="B10" s="943"/>
      <c r="C10" s="1176"/>
      <c r="D10" s="1176"/>
      <c r="E10" s="1176"/>
      <c r="F10" s="1176"/>
      <c r="G10" s="1176"/>
      <c r="H10" s="1176"/>
      <c r="I10" s="1176"/>
    </row>
    <row r="11" spans="4:9" ht="13.5" thickBot="1">
      <c r="D11" s="944"/>
      <c r="E11" s="732"/>
      <c r="F11" s="732"/>
      <c r="G11" s="732"/>
      <c r="H11" s="732"/>
      <c r="I11" s="945" t="s">
        <v>204</v>
      </c>
    </row>
    <row r="12" spans="1:9" s="949" customFormat="1" ht="90" thickBot="1">
      <c r="A12" s="1026" t="s">
        <v>558</v>
      </c>
      <c r="B12" s="1026" t="s">
        <v>559</v>
      </c>
      <c r="C12" s="1028" t="s">
        <v>206</v>
      </c>
      <c r="D12" s="1122" t="s">
        <v>693</v>
      </c>
      <c r="E12" s="1029" t="s">
        <v>208</v>
      </c>
      <c r="F12" s="1029" t="s">
        <v>706</v>
      </c>
      <c r="G12" s="1029" t="s">
        <v>694</v>
      </c>
      <c r="H12" s="1029" t="s">
        <v>560</v>
      </c>
      <c r="I12" s="1029" t="s">
        <v>561</v>
      </c>
    </row>
    <row r="13" spans="1:9" ht="13.5" thickBot="1">
      <c r="A13" s="1031" t="s">
        <v>210</v>
      </c>
      <c r="B13" s="1031" t="s">
        <v>211</v>
      </c>
      <c r="C13" s="1033" t="s">
        <v>562</v>
      </c>
      <c r="D13" s="1123">
        <v>1</v>
      </c>
      <c r="E13" s="1033">
        <v>2</v>
      </c>
      <c r="F13" s="1033">
        <v>3</v>
      </c>
      <c r="G13" s="1033">
        <v>4</v>
      </c>
      <c r="H13" s="1033">
        <v>5</v>
      </c>
      <c r="I13" s="1033" t="s">
        <v>695</v>
      </c>
    </row>
    <row r="14" spans="1:9" ht="13.5" thickBot="1">
      <c r="A14" s="1035"/>
      <c r="B14" s="1033"/>
      <c r="C14" s="1037" t="s">
        <v>213</v>
      </c>
      <c r="D14" s="1038">
        <f aca="true" t="shared" si="0" ref="D14:I14">SUM(D16:D20)</f>
        <v>2245000</v>
      </c>
      <c r="E14" s="1038">
        <f t="shared" si="0"/>
        <v>2245000</v>
      </c>
      <c r="F14" s="1038">
        <f t="shared" si="0"/>
        <v>0</v>
      </c>
      <c r="G14" s="1038">
        <f t="shared" si="0"/>
        <v>0</v>
      </c>
      <c r="H14" s="1038">
        <f t="shared" si="0"/>
        <v>2245000</v>
      </c>
      <c r="I14" s="1038">
        <f t="shared" si="0"/>
        <v>0</v>
      </c>
    </row>
    <row r="15" spans="1:9" ht="12.75">
      <c r="A15" s="1040"/>
      <c r="B15" s="1124"/>
      <c r="C15" s="1042" t="s">
        <v>214</v>
      </c>
      <c r="D15" s="1043"/>
      <c r="E15" s="1043"/>
      <c r="F15" s="1043"/>
      <c r="G15" s="1043"/>
      <c r="H15" s="1043"/>
      <c r="I15" s="1044"/>
    </row>
    <row r="16" spans="1:9" ht="12.75" customHeight="1">
      <c r="A16" s="1040"/>
      <c r="B16" s="1124">
        <v>34054</v>
      </c>
      <c r="C16" s="1045" t="s">
        <v>708</v>
      </c>
      <c r="D16" s="1043">
        <v>2245000</v>
      </c>
      <c r="E16" s="1043">
        <v>2245000</v>
      </c>
      <c r="F16" s="1043">
        <v>0</v>
      </c>
      <c r="G16" s="1043">
        <v>0</v>
      </c>
      <c r="H16" s="1043">
        <v>2245000</v>
      </c>
      <c r="I16" s="1043">
        <f>E16-F16-G16-H16</f>
        <v>0</v>
      </c>
    </row>
    <row r="17" spans="1:9" ht="12.75">
      <c r="A17" s="1040"/>
      <c r="B17" s="1124"/>
      <c r="C17" s="1046"/>
      <c r="D17" s="1043"/>
      <c r="E17" s="1043"/>
      <c r="F17" s="1043"/>
      <c r="G17" s="1043"/>
      <c r="H17" s="1043"/>
      <c r="I17" s="1043"/>
    </row>
    <row r="18" spans="1:9" ht="12.75">
      <c r="A18" s="1040"/>
      <c r="B18" s="1124"/>
      <c r="C18" s="1046"/>
      <c r="D18" s="1043"/>
      <c r="E18" s="1043"/>
      <c r="F18" s="1043"/>
      <c r="G18" s="1043"/>
      <c r="H18" s="1043"/>
      <c r="I18" s="1043"/>
    </row>
    <row r="19" spans="1:9" ht="12.75">
      <c r="A19" s="1040"/>
      <c r="B19" s="1124"/>
      <c r="C19" s="1046"/>
      <c r="D19" s="1043"/>
      <c r="E19" s="1043"/>
      <c r="F19" s="1043"/>
      <c r="G19" s="1043"/>
      <c r="H19" s="1043"/>
      <c r="I19" s="1043"/>
    </row>
    <row r="20" spans="1:9" ht="13.5" thickBot="1">
      <c r="A20" s="1040"/>
      <c r="B20" s="1126"/>
      <c r="C20" s="1047"/>
      <c r="D20" s="1048"/>
      <c r="E20" s="1048"/>
      <c r="F20" s="1048"/>
      <c r="G20" s="1048"/>
      <c r="H20" s="1048"/>
      <c r="I20" s="1048"/>
    </row>
    <row r="21" spans="1:9" ht="13.5" thickBot="1">
      <c r="A21" s="1035"/>
      <c r="B21" s="1033"/>
      <c r="C21" s="1049" t="s">
        <v>248</v>
      </c>
      <c r="D21" s="1038">
        <f aca="true" t="shared" si="1" ref="D21:I21">SUM(D23:D25)</f>
        <v>540000</v>
      </c>
      <c r="E21" s="1038">
        <f t="shared" si="1"/>
        <v>540000</v>
      </c>
      <c r="F21" s="1038">
        <f t="shared" si="1"/>
        <v>0</v>
      </c>
      <c r="G21" s="1038">
        <f t="shared" si="1"/>
        <v>0</v>
      </c>
      <c r="H21" s="1038">
        <f t="shared" si="1"/>
        <v>540000</v>
      </c>
      <c r="I21" s="1038">
        <f t="shared" si="1"/>
        <v>0</v>
      </c>
    </row>
    <row r="22" spans="1:9" ht="12.75">
      <c r="A22" s="1040"/>
      <c r="B22" s="1124"/>
      <c r="C22" s="1042" t="s">
        <v>214</v>
      </c>
      <c r="D22" s="1043"/>
      <c r="E22" s="1043"/>
      <c r="F22" s="1043"/>
      <c r="G22" s="1043"/>
      <c r="H22" s="1043"/>
      <c r="I22" s="1043"/>
    </row>
    <row r="23" spans="1:9" s="949" customFormat="1" ht="15" customHeight="1">
      <c r="A23" s="1040"/>
      <c r="B23" s="1130">
        <v>34908</v>
      </c>
      <c r="C23" s="1046" t="s">
        <v>709</v>
      </c>
      <c r="D23" s="1125"/>
      <c r="E23" s="1125"/>
      <c r="F23" s="1125"/>
      <c r="G23" s="1125"/>
      <c r="H23" s="1125"/>
      <c r="I23" s="1043"/>
    </row>
    <row r="24" spans="1:9" ht="12.75">
      <c r="A24" s="1040"/>
      <c r="B24" s="1127"/>
      <c r="C24" s="1046" t="s">
        <v>710</v>
      </c>
      <c r="D24" s="1043">
        <v>540000</v>
      </c>
      <c r="E24" s="1043">
        <v>540000</v>
      </c>
      <c r="F24" s="1043">
        <v>0</v>
      </c>
      <c r="G24" s="1043">
        <v>0</v>
      </c>
      <c r="H24" s="1043">
        <v>540000</v>
      </c>
      <c r="I24" s="1043">
        <f>E24-F24-G24-H24</f>
        <v>0</v>
      </c>
    </row>
    <row r="25" spans="1:9" ht="13.5" thickBot="1">
      <c r="A25" s="1051"/>
      <c r="B25" s="1126"/>
      <c r="C25" s="1046"/>
      <c r="D25" s="1048"/>
      <c r="E25" s="1048"/>
      <c r="F25" s="1048"/>
      <c r="G25" s="1048"/>
      <c r="H25" s="1048"/>
      <c r="I25" s="1048"/>
    </row>
    <row r="26" spans="1:9" ht="13.5" thickBot="1">
      <c r="A26" s="1035"/>
      <c r="B26" s="1033"/>
      <c r="C26" s="1049" t="s">
        <v>494</v>
      </c>
      <c r="D26" s="1038">
        <f aca="true" t="shared" si="2" ref="D26:I26">SUM(D28:D30)</f>
        <v>0</v>
      </c>
      <c r="E26" s="1038">
        <f t="shared" si="2"/>
        <v>0</v>
      </c>
      <c r="F26" s="1038">
        <f t="shared" si="2"/>
        <v>0</v>
      </c>
      <c r="G26" s="1038">
        <f t="shared" si="2"/>
        <v>0</v>
      </c>
      <c r="H26" s="1038">
        <f t="shared" si="2"/>
        <v>0</v>
      </c>
      <c r="I26" s="1038">
        <f t="shared" si="2"/>
        <v>0</v>
      </c>
    </row>
    <row r="27" spans="1:9" ht="12.75">
      <c r="A27" s="1040"/>
      <c r="B27" s="1124"/>
      <c r="C27" s="1045" t="s">
        <v>214</v>
      </c>
      <c r="D27" s="1043"/>
      <c r="E27" s="1043"/>
      <c r="F27" s="1043"/>
      <c r="G27" s="1043"/>
      <c r="H27" s="1043"/>
      <c r="I27" s="1043"/>
    </row>
    <row r="28" spans="1:9" ht="12.75">
      <c r="A28" s="1040"/>
      <c r="B28" s="1127"/>
      <c r="C28" s="1045" t="s">
        <v>566</v>
      </c>
      <c r="D28" s="1043">
        <v>0</v>
      </c>
      <c r="E28" s="1043">
        <v>0</v>
      </c>
      <c r="F28" s="1043">
        <v>0</v>
      </c>
      <c r="G28" s="1043">
        <v>0</v>
      </c>
      <c r="H28" s="1043">
        <v>0</v>
      </c>
      <c r="I28" s="1043">
        <f>E28-F28-G28-H28</f>
        <v>0</v>
      </c>
    </row>
    <row r="29" spans="1:9" ht="12.75">
      <c r="A29" s="1051"/>
      <c r="B29" s="1127"/>
      <c r="C29" s="1046"/>
      <c r="D29" s="1043"/>
      <c r="E29" s="1043"/>
      <c r="F29" s="1043"/>
      <c r="G29" s="1043"/>
      <c r="H29" s="1043"/>
      <c r="I29" s="1043"/>
    </row>
    <row r="30" spans="1:9" ht="13.5" thickBot="1">
      <c r="A30" s="1051"/>
      <c r="B30" s="1129"/>
      <c r="C30" s="1047"/>
      <c r="D30" s="1048"/>
      <c r="E30" s="1048"/>
      <c r="F30" s="1048"/>
      <c r="G30" s="1048"/>
      <c r="H30" s="1048"/>
      <c r="I30" s="1048"/>
    </row>
    <row r="31" spans="1:9" ht="26.25" thickBot="1">
      <c r="A31" s="1053"/>
      <c r="B31" s="1129"/>
      <c r="C31" s="1054" t="s">
        <v>697</v>
      </c>
      <c r="D31" s="1048">
        <f aca="true" t="shared" si="3" ref="D31:I31">D14+D21+D26</f>
        <v>2785000</v>
      </c>
      <c r="E31" s="1048">
        <f t="shared" si="3"/>
        <v>2785000</v>
      </c>
      <c r="F31" s="1048">
        <f t="shared" si="3"/>
        <v>0</v>
      </c>
      <c r="G31" s="1048">
        <f t="shared" si="3"/>
        <v>0</v>
      </c>
      <c r="H31" s="1048">
        <f t="shared" si="3"/>
        <v>2785000</v>
      </c>
      <c r="I31" s="1048">
        <f t="shared" si="3"/>
        <v>0</v>
      </c>
    </row>
    <row r="32" ht="12.75">
      <c r="C32" s="879"/>
    </row>
    <row r="33" spans="1:3" ht="12.75">
      <c r="A33" s="911" t="s">
        <v>250</v>
      </c>
      <c r="C33" s="879"/>
    </row>
    <row r="34" spans="1:9" ht="14.25">
      <c r="A34" s="1115" t="s">
        <v>707</v>
      </c>
      <c r="C34" s="879"/>
      <c r="D34" s="54"/>
      <c r="E34" s="54"/>
      <c r="F34" s="54"/>
      <c r="G34" s="54"/>
      <c r="H34" s="54"/>
      <c r="I34" s="54"/>
    </row>
    <row r="35" spans="1:9" ht="12.75">
      <c r="A35" s="911" t="s">
        <v>568</v>
      </c>
      <c r="C35" s="879"/>
      <c r="D35" s="54"/>
      <c r="E35" s="54"/>
      <c r="F35" s="54"/>
      <c r="G35" s="54"/>
      <c r="H35" s="54"/>
      <c r="I35" s="54"/>
    </row>
    <row r="36" spans="1:3" ht="12.75">
      <c r="A36" s="54" t="s">
        <v>530</v>
      </c>
      <c r="C36" s="879"/>
    </row>
    <row r="37" spans="1:3" ht="12.75">
      <c r="A37" s="911" t="s">
        <v>570</v>
      </c>
      <c r="C37" s="879"/>
    </row>
    <row r="38" spans="1:3" ht="12.75">
      <c r="A38" s="911" t="s">
        <v>698</v>
      </c>
      <c r="C38" s="879"/>
    </row>
    <row r="39" spans="1:3" ht="12.75">
      <c r="A39" s="911" t="s">
        <v>699</v>
      </c>
      <c r="C39" s="879"/>
    </row>
    <row r="40" spans="1:3" ht="12.75">
      <c r="A40" s="911" t="s">
        <v>700</v>
      </c>
      <c r="C40" s="879"/>
    </row>
    <row r="41" spans="1:3" ht="12.75">
      <c r="A41" s="911" t="s">
        <v>701</v>
      </c>
      <c r="C41" s="879"/>
    </row>
    <row r="42" spans="1:3" ht="12.75">
      <c r="A42" s="911" t="s">
        <v>702</v>
      </c>
      <c r="C42" s="879"/>
    </row>
    <row r="43" ht="12.75">
      <c r="C43" s="879"/>
    </row>
    <row r="44" ht="12.75">
      <c r="A44" s="1089" t="s">
        <v>489</v>
      </c>
    </row>
    <row r="46" ht="12.75">
      <c r="A46" s="752"/>
    </row>
    <row r="47" spans="1:8" ht="12.75">
      <c r="A47" s="911" t="s">
        <v>254</v>
      </c>
      <c r="B47" s="911" t="s">
        <v>255</v>
      </c>
      <c r="G47" s="911" t="s">
        <v>256</v>
      </c>
      <c r="H47" s="911" t="s">
        <v>303</v>
      </c>
    </row>
    <row r="48" spans="1:8" ht="12.75">
      <c r="A48" s="911" t="s">
        <v>257</v>
      </c>
      <c r="B48" s="1062" t="s">
        <v>258</v>
      </c>
      <c r="G48" s="911" t="s">
        <v>257</v>
      </c>
      <c r="H48" s="1062" t="s">
        <v>258</v>
      </c>
    </row>
  </sheetData>
  <mergeCells count="6">
    <mergeCell ref="C10:I10"/>
    <mergeCell ref="H2:I2"/>
    <mergeCell ref="A7:I7"/>
    <mergeCell ref="A8:I8"/>
    <mergeCell ref="A9:I9"/>
    <mergeCell ref="H3:I3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25">
      <selection activeCell="E69" sqref="E69"/>
    </sheetView>
  </sheetViews>
  <sheetFormatPr defaultColWidth="9.00390625" defaultRowHeight="12.75"/>
  <cols>
    <col min="1" max="1" width="17.00390625" style="911" customWidth="1"/>
    <col min="2" max="2" width="8.125" style="911" customWidth="1"/>
    <col min="3" max="3" width="50.375" style="911" customWidth="1"/>
    <col min="4" max="5" width="17.00390625" style="911" customWidth="1"/>
    <col min="6" max="7" width="17.25390625" style="911" customWidth="1"/>
    <col min="8" max="8" width="17.75390625" style="911" customWidth="1"/>
    <col min="9" max="9" width="17.625" style="911" customWidth="1"/>
    <col min="10" max="16384" width="9.125" style="911" customWidth="1"/>
  </cols>
  <sheetData>
    <row r="1" spans="1:9" ht="12.75">
      <c r="A1" s="1021"/>
      <c r="B1" s="1022"/>
      <c r="D1" s="1099"/>
      <c r="E1" s="1099"/>
      <c r="I1" s="1021"/>
    </row>
    <row r="2" spans="2:9" ht="12.75">
      <c r="B2" s="1024"/>
      <c r="C2" s="1121"/>
      <c r="D2" s="1099"/>
      <c r="E2" s="1099"/>
      <c r="H2" s="1214"/>
      <c r="I2" s="1214"/>
    </row>
    <row r="3" spans="1:9" ht="12.75">
      <c r="A3" s="911" t="s">
        <v>508</v>
      </c>
      <c r="C3" s="1025" t="s">
        <v>288</v>
      </c>
      <c r="H3" s="1180" t="s">
        <v>689</v>
      </c>
      <c r="I3" s="1180"/>
    </row>
    <row r="4" ht="14.25">
      <c r="A4" s="911" t="s">
        <v>703</v>
      </c>
    </row>
    <row r="5" spans="1:3" ht="12.75">
      <c r="A5" s="911" t="s">
        <v>704</v>
      </c>
      <c r="C5" s="1025" t="s">
        <v>541</v>
      </c>
    </row>
    <row r="7" spans="1:9" ht="12.75">
      <c r="A7" s="1215" t="s">
        <v>691</v>
      </c>
      <c r="B7" s="1215"/>
      <c r="C7" s="1215"/>
      <c r="D7" s="1215"/>
      <c r="E7" s="1215"/>
      <c r="F7" s="1215"/>
      <c r="G7" s="1215"/>
      <c r="H7" s="1215"/>
      <c r="I7" s="1215"/>
    </row>
    <row r="8" spans="1:9" ht="12.75">
      <c r="A8" s="1216" t="s">
        <v>705</v>
      </c>
      <c r="B8" s="1216"/>
      <c r="C8" s="1216"/>
      <c r="D8" s="1216"/>
      <c r="E8" s="1216"/>
      <c r="F8" s="1216"/>
      <c r="G8" s="1216"/>
      <c r="H8" s="1216"/>
      <c r="I8" s="1216"/>
    </row>
    <row r="9" spans="1:9" ht="12.75">
      <c r="A9" s="1211" t="s">
        <v>692</v>
      </c>
      <c r="B9" s="1211"/>
      <c r="C9" s="1211"/>
      <c r="D9" s="1211"/>
      <c r="E9" s="1211"/>
      <c r="F9" s="1211"/>
      <c r="G9" s="1211"/>
      <c r="H9" s="1211"/>
      <c r="I9" s="1211"/>
    </row>
    <row r="10" spans="2:9" ht="12.75">
      <c r="B10" s="943"/>
      <c r="C10" s="1176"/>
      <c r="D10" s="1176"/>
      <c r="E10" s="1176"/>
      <c r="F10" s="1176"/>
      <c r="G10" s="1176"/>
      <c r="H10" s="1176"/>
      <c r="I10" s="1176"/>
    </row>
    <row r="11" spans="4:9" ht="13.5" thickBot="1">
      <c r="D11" s="944"/>
      <c r="E11" s="732"/>
      <c r="F11" s="732"/>
      <c r="G11" s="732"/>
      <c r="H11" s="732"/>
      <c r="I11" s="945" t="s">
        <v>204</v>
      </c>
    </row>
    <row r="12" spans="1:9" s="949" customFormat="1" ht="90" thickBot="1">
      <c r="A12" s="1026" t="s">
        <v>558</v>
      </c>
      <c r="B12" s="1026" t="s">
        <v>559</v>
      </c>
      <c r="C12" s="1028" t="s">
        <v>206</v>
      </c>
      <c r="D12" s="1122" t="s">
        <v>693</v>
      </c>
      <c r="E12" s="1029" t="s">
        <v>208</v>
      </c>
      <c r="F12" s="1029" t="s">
        <v>706</v>
      </c>
      <c r="G12" s="1029" t="s">
        <v>694</v>
      </c>
      <c r="H12" s="1029" t="s">
        <v>560</v>
      </c>
      <c r="I12" s="1029" t="s">
        <v>561</v>
      </c>
    </row>
    <row r="13" spans="1:9" ht="13.5" thickBot="1">
      <c r="A13" s="1031" t="s">
        <v>210</v>
      </c>
      <c r="B13" s="1031" t="s">
        <v>211</v>
      </c>
      <c r="C13" s="1033" t="s">
        <v>562</v>
      </c>
      <c r="D13" s="1123">
        <v>1</v>
      </c>
      <c r="E13" s="1033">
        <v>2</v>
      </c>
      <c r="F13" s="1033">
        <v>3</v>
      </c>
      <c r="G13" s="1033">
        <v>4</v>
      </c>
      <c r="H13" s="1033">
        <v>5</v>
      </c>
      <c r="I13" s="1033" t="s">
        <v>695</v>
      </c>
    </row>
    <row r="14" spans="1:9" ht="13.5" thickBot="1">
      <c r="A14" s="1035"/>
      <c r="B14" s="1033"/>
      <c r="C14" s="1037" t="s">
        <v>213</v>
      </c>
      <c r="D14" s="1038">
        <f aca="true" t="shared" si="0" ref="D14:I14">SUM(D16:D20)</f>
        <v>0</v>
      </c>
      <c r="E14" s="1038">
        <f t="shared" si="0"/>
        <v>0</v>
      </c>
      <c r="F14" s="1038">
        <f t="shared" si="0"/>
        <v>0</v>
      </c>
      <c r="G14" s="1038">
        <f t="shared" si="0"/>
        <v>0</v>
      </c>
      <c r="H14" s="1038">
        <f t="shared" si="0"/>
        <v>0</v>
      </c>
      <c r="I14" s="1038">
        <f t="shared" si="0"/>
        <v>0</v>
      </c>
    </row>
    <row r="15" spans="1:9" ht="12.75">
      <c r="A15" s="1040"/>
      <c r="B15" s="1124"/>
      <c r="C15" s="1042" t="s">
        <v>214</v>
      </c>
      <c r="D15" s="1043"/>
      <c r="E15" s="1043"/>
      <c r="F15" s="1043"/>
      <c r="G15" s="1043"/>
      <c r="H15" s="1043"/>
      <c r="I15" s="1044"/>
    </row>
    <row r="16" spans="1:9" ht="12.75" customHeight="1">
      <c r="A16" s="1040"/>
      <c r="B16" s="1124"/>
      <c r="C16" s="1046" t="s">
        <v>507</v>
      </c>
      <c r="D16" s="1125">
        <v>0</v>
      </c>
      <c r="E16" s="1125">
        <v>0</v>
      </c>
      <c r="F16" s="1125">
        <v>0</v>
      </c>
      <c r="G16" s="1125">
        <v>0</v>
      </c>
      <c r="H16" s="1125">
        <v>0</v>
      </c>
      <c r="I16" s="1043">
        <f>E16-F16-G16-H16</f>
        <v>0</v>
      </c>
    </row>
    <row r="17" spans="1:9" ht="12.75">
      <c r="A17" s="1040"/>
      <c r="B17" s="1124"/>
      <c r="C17" s="1046"/>
      <c r="D17" s="1043"/>
      <c r="E17" s="1043"/>
      <c r="F17" s="1043"/>
      <c r="G17" s="1043"/>
      <c r="H17" s="1043"/>
      <c r="I17" s="1043"/>
    </row>
    <row r="18" spans="1:9" ht="12.75">
      <c r="A18" s="1040"/>
      <c r="B18" s="1124"/>
      <c r="C18" s="1046"/>
      <c r="D18" s="1043"/>
      <c r="E18" s="1043"/>
      <c r="F18" s="1043"/>
      <c r="G18" s="1043"/>
      <c r="H18" s="1043"/>
      <c r="I18" s="1043"/>
    </row>
    <row r="19" spans="1:9" ht="12.75">
      <c r="A19" s="1040"/>
      <c r="B19" s="1124"/>
      <c r="C19" s="1046"/>
      <c r="D19" s="1043"/>
      <c r="E19" s="1043"/>
      <c r="F19" s="1043"/>
      <c r="G19" s="1043"/>
      <c r="H19" s="1043"/>
      <c r="I19" s="1043"/>
    </row>
    <row r="20" spans="1:9" ht="13.5" thickBot="1">
      <c r="A20" s="1040"/>
      <c r="B20" s="1126"/>
      <c r="C20" s="1047"/>
      <c r="D20" s="1048"/>
      <c r="E20" s="1048"/>
      <c r="F20" s="1048"/>
      <c r="G20" s="1048"/>
      <c r="H20" s="1048"/>
      <c r="I20" s="1048"/>
    </row>
    <row r="21" spans="1:9" ht="13.5" thickBot="1">
      <c r="A21" s="1035"/>
      <c r="B21" s="1033"/>
      <c r="C21" s="1049" t="s">
        <v>248</v>
      </c>
      <c r="D21" s="1038">
        <f aca="true" t="shared" si="1" ref="D21:I21">SUM(D23:D25)</f>
        <v>885000</v>
      </c>
      <c r="E21" s="1038">
        <f t="shared" si="1"/>
        <v>885000</v>
      </c>
      <c r="F21" s="1038">
        <f t="shared" si="1"/>
        <v>0</v>
      </c>
      <c r="G21" s="1038">
        <f t="shared" si="1"/>
        <v>0</v>
      </c>
      <c r="H21" s="1038">
        <f t="shared" si="1"/>
        <v>885000</v>
      </c>
      <c r="I21" s="1038">
        <f t="shared" si="1"/>
        <v>0</v>
      </c>
    </row>
    <row r="22" spans="1:9" ht="12.75">
      <c r="A22" s="1040"/>
      <c r="B22" s="1124"/>
      <c r="C22" s="1042" t="s">
        <v>214</v>
      </c>
      <c r="D22" s="1043"/>
      <c r="E22" s="1043"/>
      <c r="F22" s="1043"/>
      <c r="G22" s="1043"/>
      <c r="H22" s="1043"/>
      <c r="I22" s="1043"/>
    </row>
    <row r="23" spans="1:9" s="949" customFormat="1" ht="15" customHeight="1">
      <c r="A23" s="1040"/>
      <c r="B23" s="1127">
        <v>14876</v>
      </c>
      <c r="C23" s="1046" t="s">
        <v>711</v>
      </c>
      <c r="D23" s="1128">
        <v>536000</v>
      </c>
      <c r="E23" s="1128">
        <v>536000</v>
      </c>
      <c r="F23" s="1128">
        <v>0</v>
      </c>
      <c r="G23" s="1128">
        <v>0</v>
      </c>
      <c r="H23" s="1128">
        <v>536000</v>
      </c>
      <c r="I23" s="1128">
        <f>E23-F23-G23-H23</f>
        <v>0</v>
      </c>
    </row>
    <row r="24" spans="1:9" ht="12.75" customHeight="1">
      <c r="A24" s="1040"/>
      <c r="B24" s="1127">
        <v>14907</v>
      </c>
      <c r="C24" s="1046" t="s">
        <v>712</v>
      </c>
      <c r="D24" s="1128">
        <v>349000</v>
      </c>
      <c r="E24" s="1128">
        <v>349000</v>
      </c>
      <c r="F24" s="1128">
        <v>0</v>
      </c>
      <c r="G24" s="1128">
        <v>0</v>
      </c>
      <c r="H24" s="1128">
        <v>349000</v>
      </c>
      <c r="I24" s="1128">
        <f>E24-F24-G24-H24</f>
        <v>0</v>
      </c>
    </row>
    <row r="25" spans="1:9" ht="13.5" thickBot="1">
      <c r="A25" s="1051"/>
      <c r="B25" s="1126"/>
      <c r="C25" s="1046"/>
      <c r="D25" s="1048"/>
      <c r="E25" s="1048"/>
      <c r="F25" s="1048"/>
      <c r="G25" s="1048"/>
      <c r="H25" s="1048"/>
      <c r="I25" s="1048"/>
    </row>
    <row r="26" spans="1:9" ht="13.5" thickBot="1">
      <c r="A26" s="1035"/>
      <c r="B26" s="1033"/>
      <c r="C26" s="1049" t="s">
        <v>494</v>
      </c>
      <c r="D26" s="1038">
        <f aca="true" t="shared" si="2" ref="D26:I26">SUM(D28:D30)</f>
        <v>0</v>
      </c>
      <c r="E26" s="1038">
        <f t="shared" si="2"/>
        <v>0</v>
      </c>
      <c r="F26" s="1038">
        <f t="shared" si="2"/>
        <v>0</v>
      </c>
      <c r="G26" s="1038">
        <f t="shared" si="2"/>
        <v>0</v>
      </c>
      <c r="H26" s="1038">
        <f t="shared" si="2"/>
        <v>0</v>
      </c>
      <c r="I26" s="1038">
        <f t="shared" si="2"/>
        <v>0</v>
      </c>
    </row>
    <row r="27" spans="1:9" ht="12.75">
      <c r="A27" s="1040"/>
      <c r="B27" s="1124"/>
      <c r="C27" s="1045" t="s">
        <v>214</v>
      </c>
      <c r="D27" s="1043"/>
      <c r="E27" s="1043"/>
      <c r="F27" s="1043"/>
      <c r="G27" s="1043"/>
      <c r="H27" s="1043"/>
      <c r="I27" s="1043"/>
    </row>
    <row r="28" spans="1:9" ht="12.75">
      <c r="A28" s="1040"/>
      <c r="B28" s="1127"/>
      <c r="C28" s="1045" t="s">
        <v>566</v>
      </c>
      <c r="D28" s="1043">
        <v>0</v>
      </c>
      <c r="E28" s="1043">
        <v>0</v>
      </c>
      <c r="F28" s="1043">
        <v>0</v>
      </c>
      <c r="G28" s="1043">
        <v>0</v>
      </c>
      <c r="H28" s="1043">
        <v>0</v>
      </c>
      <c r="I28" s="1043">
        <f>E28-F28-G28-H28</f>
        <v>0</v>
      </c>
    </row>
    <row r="29" spans="1:9" ht="12.75">
      <c r="A29" s="1051"/>
      <c r="B29" s="1127"/>
      <c r="C29" s="1046"/>
      <c r="D29" s="1043"/>
      <c r="E29" s="1043"/>
      <c r="F29" s="1043"/>
      <c r="G29" s="1043"/>
      <c r="H29" s="1043"/>
      <c r="I29" s="1043"/>
    </row>
    <row r="30" spans="1:9" ht="13.5" thickBot="1">
      <c r="A30" s="1051"/>
      <c r="B30" s="1129"/>
      <c r="C30" s="1047"/>
      <c r="D30" s="1048"/>
      <c r="E30" s="1048"/>
      <c r="F30" s="1048"/>
      <c r="G30" s="1048"/>
      <c r="H30" s="1048"/>
      <c r="I30" s="1048"/>
    </row>
    <row r="31" spans="1:9" ht="26.25" thickBot="1">
      <c r="A31" s="1053"/>
      <c r="B31" s="1129"/>
      <c r="C31" s="1054" t="s">
        <v>697</v>
      </c>
      <c r="D31" s="1048">
        <f aca="true" t="shared" si="3" ref="D31:I31">D14+D21+D26</f>
        <v>885000</v>
      </c>
      <c r="E31" s="1048">
        <f t="shared" si="3"/>
        <v>885000</v>
      </c>
      <c r="F31" s="1048">
        <f t="shared" si="3"/>
        <v>0</v>
      </c>
      <c r="G31" s="1048">
        <f t="shared" si="3"/>
        <v>0</v>
      </c>
      <c r="H31" s="1048">
        <f t="shared" si="3"/>
        <v>885000</v>
      </c>
      <c r="I31" s="1048">
        <f t="shared" si="3"/>
        <v>0</v>
      </c>
    </row>
    <row r="32" ht="12.75">
      <c r="C32" s="879"/>
    </row>
    <row r="33" spans="1:3" ht="12.75">
      <c r="A33" s="911" t="s">
        <v>250</v>
      </c>
      <c r="C33" s="879"/>
    </row>
    <row r="34" spans="1:9" ht="14.25">
      <c r="A34" s="1115" t="s">
        <v>707</v>
      </c>
      <c r="C34" s="879"/>
      <c r="D34" s="54"/>
      <c r="E34" s="54"/>
      <c r="F34" s="54"/>
      <c r="G34" s="54"/>
      <c r="H34" s="54"/>
      <c r="I34" s="54"/>
    </row>
    <row r="35" spans="1:9" ht="12.75">
      <c r="A35" s="911" t="s">
        <v>568</v>
      </c>
      <c r="C35" s="879"/>
      <c r="D35" s="54"/>
      <c r="E35" s="54"/>
      <c r="F35" s="54"/>
      <c r="G35" s="54"/>
      <c r="H35" s="54"/>
      <c r="I35" s="54"/>
    </row>
    <row r="36" spans="1:3" ht="12.75">
      <c r="A36" s="54" t="s">
        <v>530</v>
      </c>
      <c r="C36" s="879"/>
    </row>
    <row r="37" spans="1:3" ht="12.75">
      <c r="A37" s="911" t="s">
        <v>570</v>
      </c>
      <c r="C37" s="879"/>
    </row>
    <row r="38" spans="1:3" ht="12.75">
      <c r="A38" s="911" t="s">
        <v>698</v>
      </c>
      <c r="C38" s="879"/>
    </row>
    <row r="39" spans="1:3" ht="12.75">
      <c r="A39" s="911" t="s">
        <v>699</v>
      </c>
      <c r="C39" s="879"/>
    </row>
    <row r="40" spans="1:3" ht="12.75">
      <c r="A40" s="911" t="s">
        <v>700</v>
      </c>
      <c r="C40" s="879"/>
    </row>
    <row r="41" spans="1:3" ht="12.75">
      <c r="A41" s="911" t="s">
        <v>701</v>
      </c>
      <c r="C41" s="879"/>
    </row>
    <row r="42" spans="1:3" ht="12.75">
      <c r="A42" s="911" t="s">
        <v>702</v>
      </c>
      <c r="C42" s="879"/>
    </row>
    <row r="43" ht="12.75">
      <c r="C43" s="879"/>
    </row>
    <row r="44" ht="12.75">
      <c r="A44" s="1089" t="s">
        <v>489</v>
      </c>
    </row>
    <row r="46" ht="12.75">
      <c r="A46" s="752"/>
    </row>
    <row r="47" spans="1:8" ht="12.75">
      <c r="A47" s="911" t="s">
        <v>254</v>
      </c>
      <c r="B47" s="911" t="s">
        <v>255</v>
      </c>
      <c r="G47" s="911" t="s">
        <v>256</v>
      </c>
      <c r="H47" s="911" t="s">
        <v>303</v>
      </c>
    </row>
    <row r="48" spans="1:8" ht="12.75">
      <c r="A48" s="911" t="s">
        <v>257</v>
      </c>
      <c r="B48" s="1062" t="s">
        <v>258</v>
      </c>
      <c r="G48" s="911" t="s">
        <v>257</v>
      </c>
      <c r="H48" s="1062" t="s">
        <v>258</v>
      </c>
    </row>
  </sheetData>
  <mergeCells count="6">
    <mergeCell ref="C10:I10"/>
    <mergeCell ref="H2:I2"/>
    <mergeCell ref="A7:I7"/>
    <mergeCell ref="A8:I8"/>
    <mergeCell ref="A9:I9"/>
    <mergeCell ref="H3:I3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D19">
      <selection activeCell="I62" sqref="I62"/>
    </sheetView>
  </sheetViews>
  <sheetFormatPr defaultColWidth="9.00390625" defaultRowHeight="12.75"/>
  <cols>
    <col min="1" max="1" width="17.00390625" style="911" customWidth="1"/>
    <col min="2" max="2" width="8.125" style="911" customWidth="1"/>
    <col min="3" max="3" width="50.375" style="911" customWidth="1"/>
    <col min="4" max="5" width="17.00390625" style="911" customWidth="1"/>
    <col min="6" max="7" width="17.25390625" style="911" customWidth="1"/>
    <col min="8" max="8" width="17.75390625" style="911" customWidth="1"/>
    <col min="9" max="9" width="17.625" style="911" customWidth="1"/>
    <col min="10" max="16384" width="9.125" style="911" customWidth="1"/>
  </cols>
  <sheetData>
    <row r="1" spans="1:9" ht="12.75">
      <c r="A1" s="1021"/>
      <c r="B1" s="1022"/>
      <c r="D1" s="1099"/>
      <c r="E1" s="1099"/>
      <c r="I1" s="1021"/>
    </row>
    <row r="2" spans="2:9" ht="12.75">
      <c r="B2" s="1024"/>
      <c r="C2" s="1121"/>
      <c r="D2" s="1099"/>
      <c r="E2" s="1099"/>
      <c r="H2" s="1180"/>
      <c r="I2" s="1180"/>
    </row>
    <row r="3" spans="1:9" ht="12.75">
      <c r="A3" s="911" t="s">
        <v>508</v>
      </c>
      <c r="C3" s="1025" t="s">
        <v>288</v>
      </c>
      <c r="H3" s="1180" t="s">
        <v>689</v>
      </c>
      <c r="I3" s="1180"/>
    </row>
    <row r="4" ht="14.25">
      <c r="A4" s="911" t="s">
        <v>703</v>
      </c>
    </row>
    <row r="5" spans="1:3" ht="12.75">
      <c r="A5" s="911" t="s">
        <v>704</v>
      </c>
      <c r="C5" s="1025" t="s">
        <v>713</v>
      </c>
    </row>
    <row r="7" spans="1:9" ht="12.75">
      <c r="A7" s="1215" t="s">
        <v>691</v>
      </c>
      <c r="B7" s="1215"/>
      <c r="C7" s="1215"/>
      <c r="D7" s="1215"/>
      <c r="E7" s="1215"/>
      <c r="F7" s="1215"/>
      <c r="G7" s="1215"/>
      <c r="H7" s="1215"/>
      <c r="I7" s="1215"/>
    </row>
    <row r="8" spans="1:9" ht="12.75">
      <c r="A8" s="1216" t="s">
        <v>705</v>
      </c>
      <c r="B8" s="1216"/>
      <c r="C8" s="1216"/>
      <c r="D8" s="1216"/>
      <c r="E8" s="1216"/>
      <c r="F8" s="1216"/>
      <c r="G8" s="1216"/>
      <c r="H8" s="1216"/>
      <c r="I8" s="1216"/>
    </row>
    <row r="9" spans="1:9" ht="12.75">
      <c r="A9" s="1211" t="s">
        <v>692</v>
      </c>
      <c r="B9" s="1211"/>
      <c r="C9" s="1211"/>
      <c r="D9" s="1211"/>
      <c r="E9" s="1211"/>
      <c r="F9" s="1211"/>
      <c r="G9" s="1211"/>
      <c r="H9" s="1211"/>
      <c r="I9" s="1211"/>
    </row>
    <row r="10" spans="2:9" ht="12.75">
      <c r="B10" s="943"/>
      <c r="C10" s="1176"/>
      <c r="D10" s="1176"/>
      <c r="E10" s="1176"/>
      <c r="F10" s="1176"/>
      <c r="G10" s="1176"/>
      <c r="H10" s="1176"/>
      <c r="I10" s="1176"/>
    </row>
    <row r="11" spans="4:9" ht="13.5" thickBot="1">
      <c r="D11" s="944"/>
      <c r="E11" s="732"/>
      <c r="F11" s="732"/>
      <c r="G11" s="732"/>
      <c r="H11" s="732"/>
      <c r="I11" s="945" t="s">
        <v>204</v>
      </c>
    </row>
    <row r="12" spans="1:9" s="949" customFormat="1" ht="90" thickBot="1">
      <c r="A12" s="1026" t="s">
        <v>558</v>
      </c>
      <c r="B12" s="1026" t="s">
        <v>559</v>
      </c>
      <c r="C12" s="1028" t="s">
        <v>206</v>
      </c>
      <c r="D12" s="1122" t="s">
        <v>693</v>
      </c>
      <c r="E12" s="1029" t="s">
        <v>208</v>
      </c>
      <c r="F12" s="1029" t="s">
        <v>706</v>
      </c>
      <c r="G12" s="1029" t="s">
        <v>694</v>
      </c>
      <c r="H12" s="1029" t="s">
        <v>560</v>
      </c>
      <c r="I12" s="1029" t="s">
        <v>561</v>
      </c>
    </row>
    <row r="13" spans="1:9" ht="13.5" thickBot="1">
      <c r="A13" s="1031" t="s">
        <v>210</v>
      </c>
      <c r="B13" s="1031" t="s">
        <v>211</v>
      </c>
      <c r="C13" s="1033" t="s">
        <v>562</v>
      </c>
      <c r="D13" s="1123">
        <v>1</v>
      </c>
      <c r="E13" s="1033">
        <v>2</v>
      </c>
      <c r="F13" s="1033">
        <v>3</v>
      </c>
      <c r="G13" s="1033">
        <v>4</v>
      </c>
      <c r="H13" s="1033">
        <v>5</v>
      </c>
      <c r="I13" s="1033" t="s">
        <v>695</v>
      </c>
    </row>
    <row r="14" spans="1:9" ht="13.5" thickBot="1">
      <c r="A14" s="1035"/>
      <c r="B14" s="1033"/>
      <c r="C14" s="1037" t="s">
        <v>213</v>
      </c>
      <c r="D14" s="1038">
        <f aca="true" t="shared" si="0" ref="D14:I14">SUM(D16:D20)</f>
        <v>451000</v>
      </c>
      <c r="E14" s="1038">
        <f t="shared" si="0"/>
        <v>450547.2</v>
      </c>
      <c r="F14" s="1038">
        <f t="shared" si="0"/>
        <v>0</v>
      </c>
      <c r="G14" s="1038">
        <f t="shared" si="0"/>
        <v>0</v>
      </c>
      <c r="H14" s="1038">
        <f t="shared" si="0"/>
        <v>450547.2</v>
      </c>
      <c r="I14" s="1038">
        <f t="shared" si="0"/>
        <v>0</v>
      </c>
    </row>
    <row r="15" spans="1:9" ht="12.75">
      <c r="A15" s="1040"/>
      <c r="B15" s="1124"/>
      <c r="C15" s="1042" t="s">
        <v>214</v>
      </c>
      <c r="D15" s="1043"/>
      <c r="E15" s="1043"/>
      <c r="F15" s="1043"/>
      <c r="G15" s="1043"/>
      <c r="H15" s="1043"/>
      <c r="I15" s="1044"/>
    </row>
    <row r="16" spans="1:9" ht="12.75" customHeight="1">
      <c r="A16" s="1040"/>
      <c r="B16" s="1127">
        <v>91252</v>
      </c>
      <c r="C16" s="1046" t="s">
        <v>714</v>
      </c>
      <c r="D16" s="1125">
        <v>451000</v>
      </c>
      <c r="E16" s="1125">
        <v>450547.2</v>
      </c>
      <c r="F16" s="1125">
        <v>0</v>
      </c>
      <c r="G16" s="1125">
        <v>0</v>
      </c>
      <c r="H16" s="1125">
        <v>450547.2</v>
      </c>
      <c r="I16" s="1043">
        <f>E16-F16-G16-H16</f>
        <v>0</v>
      </c>
    </row>
    <row r="17" spans="1:9" ht="12.75">
      <c r="A17" s="1040"/>
      <c r="B17" s="1124"/>
      <c r="C17" s="1046"/>
      <c r="D17" s="1043"/>
      <c r="E17" s="1043"/>
      <c r="F17" s="1043"/>
      <c r="G17" s="1043"/>
      <c r="H17" s="1043"/>
      <c r="I17" s="1043"/>
    </row>
    <row r="18" spans="1:9" ht="12.75">
      <c r="A18" s="1040"/>
      <c r="B18" s="1124"/>
      <c r="C18" s="1046"/>
      <c r="D18" s="1043"/>
      <c r="E18" s="1043"/>
      <c r="F18" s="1043"/>
      <c r="G18" s="1043"/>
      <c r="H18" s="1043"/>
      <c r="I18" s="1043"/>
    </row>
    <row r="19" spans="1:9" ht="12.75">
      <c r="A19" s="1040"/>
      <c r="B19" s="1124"/>
      <c r="C19" s="1046"/>
      <c r="D19" s="1043"/>
      <c r="E19" s="1043"/>
      <c r="F19" s="1043"/>
      <c r="G19" s="1043"/>
      <c r="H19" s="1043"/>
      <c r="I19" s="1043"/>
    </row>
    <row r="20" spans="1:9" ht="13.5" thickBot="1">
      <c r="A20" s="1040"/>
      <c r="B20" s="1126"/>
      <c r="C20" s="1047"/>
      <c r="D20" s="1048"/>
      <c r="E20" s="1048"/>
      <c r="F20" s="1048"/>
      <c r="G20" s="1048"/>
      <c r="H20" s="1048"/>
      <c r="I20" s="1048"/>
    </row>
    <row r="21" spans="1:9" ht="13.5" thickBot="1">
      <c r="A21" s="1035"/>
      <c r="B21" s="1033"/>
      <c r="C21" s="1049" t="s">
        <v>248</v>
      </c>
      <c r="D21" s="1038">
        <f aca="true" t="shared" si="1" ref="D21:I21">SUM(D23:D25)</f>
        <v>0</v>
      </c>
      <c r="E21" s="1038">
        <f t="shared" si="1"/>
        <v>0</v>
      </c>
      <c r="F21" s="1038">
        <f t="shared" si="1"/>
        <v>0</v>
      </c>
      <c r="G21" s="1038">
        <f t="shared" si="1"/>
        <v>0</v>
      </c>
      <c r="H21" s="1038">
        <f t="shared" si="1"/>
        <v>0</v>
      </c>
      <c r="I21" s="1038">
        <f t="shared" si="1"/>
        <v>0</v>
      </c>
    </row>
    <row r="22" spans="1:9" ht="12.75">
      <c r="A22" s="1040"/>
      <c r="B22" s="1124"/>
      <c r="C22" s="1042" t="s">
        <v>214</v>
      </c>
      <c r="D22" s="1043"/>
      <c r="E22" s="1043"/>
      <c r="F22" s="1043"/>
      <c r="G22" s="1043"/>
      <c r="H22" s="1043"/>
      <c r="I22" s="1043"/>
    </row>
    <row r="23" spans="1:9" s="949" customFormat="1" ht="15" customHeight="1">
      <c r="A23" s="1040"/>
      <c r="B23" s="1127"/>
      <c r="C23" s="1046" t="s">
        <v>507</v>
      </c>
      <c r="D23" s="1125">
        <v>0</v>
      </c>
      <c r="E23" s="1125">
        <v>0</v>
      </c>
      <c r="F23" s="1125">
        <v>0</v>
      </c>
      <c r="G23" s="1125">
        <v>0</v>
      </c>
      <c r="H23" s="1125">
        <v>0</v>
      </c>
      <c r="I23" s="1043">
        <f>E23-F23-G23-H23</f>
        <v>0</v>
      </c>
    </row>
    <row r="24" spans="1:9" ht="12.75" customHeight="1">
      <c r="A24" s="1040"/>
      <c r="B24" s="1127"/>
      <c r="C24" s="1046"/>
      <c r="D24" s="1128"/>
      <c r="E24" s="1128"/>
      <c r="F24" s="1128"/>
      <c r="G24" s="1128"/>
      <c r="H24" s="1128"/>
      <c r="I24" s="1128"/>
    </row>
    <row r="25" spans="1:9" ht="13.5" thickBot="1">
      <c r="A25" s="1051"/>
      <c r="B25" s="1126"/>
      <c r="C25" s="1046"/>
      <c r="D25" s="1048"/>
      <c r="E25" s="1048"/>
      <c r="F25" s="1048"/>
      <c r="G25" s="1048"/>
      <c r="H25" s="1048"/>
      <c r="I25" s="1048"/>
    </row>
    <row r="26" spans="1:9" ht="13.5" thickBot="1">
      <c r="A26" s="1035"/>
      <c r="B26" s="1033"/>
      <c r="C26" s="1049" t="s">
        <v>494</v>
      </c>
      <c r="D26" s="1038">
        <f aca="true" t="shared" si="2" ref="D26:I26">SUM(D28:D30)</f>
        <v>0</v>
      </c>
      <c r="E26" s="1038">
        <f t="shared" si="2"/>
        <v>0</v>
      </c>
      <c r="F26" s="1038">
        <f t="shared" si="2"/>
        <v>0</v>
      </c>
      <c r="G26" s="1038">
        <f t="shared" si="2"/>
        <v>0</v>
      </c>
      <c r="H26" s="1038">
        <f t="shared" si="2"/>
        <v>0</v>
      </c>
      <c r="I26" s="1038">
        <f t="shared" si="2"/>
        <v>0</v>
      </c>
    </row>
    <row r="27" spans="1:9" ht="12.75">
      <c r="A27" s="1040"/>
      <c r="B27" s="1124"/>
      <c r="C27" s="1045" t="s">
        <v>214</v>
      </c>
      <c r="D27" s="1043"/>
      <c r="E27" s="1043"/>
      <c r="F27" s="1043"/>
      <c r="G27" s="1043"/>
      <c r="H27" s="1043"/>
      <c r="I27" s="1043"/>
    </row>
    <row r="28" spans="1:9" ht="12.75">
      <c r="A28" s="1040"/>
      <c r="B28" s="1127"/>
      <c r="C28" s="1045" t="s">
        <v>566</v>
      </c>
      <c r="D28" s="1043">
        <v>0</v>
      </c>
      <c r="E28" s="1043">
        <v>0</v>
      </c>
      <c r="F28" s="1043">
        <v>0</v>
      </c>
      <c r="G28" s="1043">
        <v>0</v>
      </c>
      <c r="H28" s="1043">
        <v>0</v>
      </c>
      <c r="I28" s="1043">
        <f>E28-F28-G28-H28</f>
        <v>0</v>
      </c>
    </row>
    <row r="29" spans="1:9" ht="12.75">
      <c r="A29" s="1051"/>
      <c r="B29" s="1127"/>
      <c r="C29" s="1046"/>
      <c r="D29" s="1043"/>
      <c r="E29" s="1043"/>
      <c r="F29" s="1043"/>
      <c r="G29" s="1043"/>
      <c r="H29" s="1043"/>
      <c r="I29" s="1043"/>
    </row>
    <row r="30" spans="1:9" ht="13.5" thickBot="1">
      <c r="A30" s="1051"/>
      <c r="B30" s="1129"/>
      <c r="C30" s="1047"/>
      <c r="D30" s="1048"/>
      <c r="E30" s="1048"/>
      <c r="F30" s="1048"/>
      <c r="G30" s="1048"/>
      <c r="H30" s="1048"/>
      <c r="I30" s="1048"/>
    </row>
    <row r="31" spans="1:9" ht="26.25" thickBot="1">
      <c r="A31" s="1053"/>
      <c r="B31" s="1129"/>
      <c r="C31" s="1054" t="s">
        <v>697</v>
      </c>
      <c r="D31" s="1048">
        <f aca="true" t="shared" si="3" ref="D31:I31">D14+D21+D26</f>
        <v>451000</v>
      </c>
      <c r="E31" s="1048">
        <f t="shared" si="3"/>
        <v>450547.2</v>
      </c>
      <c r="F31" s="1048">
        <f t="shared" si="3"/>
        <v>0</v>
      </c>
      <c r="G31" s="1048">
        <f t="shared" si="3"/>
        <v>0</v>
      </c>
      <c r="H31" s="1048">
        <f t="shared" si="3"/>
        <v>450547.2</v>
      </c>
      <c r="I31" s="1048">
        <f t="shared" si="3"/>
        <v>0</v>
      </c>
    </row>
    <row r="32" ht="12.75">
      <c r="C32" s="879"/>
    </row>
    <row r="33" spans="1:3" ht="12.75">
      <c r="A33" s="911" t="s">
        <v>250</v>
      </c>
      <c r="C33" s="879"/>
    </row>
    <row r="34" spans="1:9" ht="14.25">
      <c r="A34" s="1115" t="s">
        <v>707</v>
      </c>
      <c r="C34" s="879"/>
      <c r="D34" s="54"/>
      <c r="E34" s="54"/>
      <c r="F34" s="54"/>
      <c r="G34" s="54"/>
      <c r="H34" s="54"/>
      <c r="I34" s="54"/>
    </row>
    <row r="35" spans="1:9" ht="12.75">
      <c r="A35" s="911" t="s">
        <v>568</v>
      </c>
      <c r="C35" s="879"/>
      <c r="D35" s="54"/>
      <c r="E35" s="54"/>
      <c r="F35" s="54"/>
      <c r="G35" s="54"/>
      <c r="H35" s="54"/>
      <c r="I35" s="54"/>
    </row>
    <row r="36" spans="1:3" ht="12.75">
      <c r="A36" s="54" t="s">
        <v>530</v>
      </c>
      <c r="C36" s="879"/>
    </row>
    <row r="37" spans="1:3" ht="12.75">
      <c r="A37" s="911" t="s">
        <v>570</v>
      </c>
      <c r="C37" s="879"/>
    </row>
    <row r="38" spans="1:3" ht="12.75">
      <c r="A38" s="911" t="s">
        <v>698</v>
      </c>
      <c r="C38" s="879"/>
    </row>
    <row r="39" spans="1:3" ht="12.75">
      <c r="A39" s="911" t="s">
        <v>699</v>
      </c>
      <c r="C39" s="879"/>
    </row>
    <row r="40" spans="1:3" ht="12.75">
      <c r="A40" s="911" t="s">
        <v>700</v>
      </c>
      <c r="C40" s="879"/>
    </row>
    <row r="41" spans="1:3" ht="12.75">
      <c r="A41" s="911" t="s">
        <v>701</v>
      </c>
      <c r="C41" s="879"/>
    </row>
    <row r="42" spans="1:3" ht="12.75">
      <c r="A42" s="911" t="s">
        <v>702</v>
      </c>
      <c r="C42" s="879"/>
    </row>
    <row r="43" ht="12.75">
      <c r="C43" s="879"/>
    </row>
    <row r="44" ht="12.75">
      <c r="A44" s="1089" t="s">
        <v>489</v>
      </c>
    </row>
    <row r="46" ht="12.75">
      <c r="A46" s="752"/>
    </row>
    <row r="47" spans="1:8" ht="12.75">
      <c r="A47" s="911" t="s">
        <v>254</v>
      </c>
      <c r="B47" s="911" t="s">
        <v>255</v>
      </c>
      <c r="G47" s="911" t="s">
        <v>256</v>
      </c>
      <c r="H47" s="911" t="s">
        <v>303</v>
      </c>
    </row>
    <row r="48" spans="1:8" ht="12.75">
      <c r="A48" s="911" t="s">
        <v>257</v>
      </c>
      <c r="B48" s="1062" t="s">
        <v>258</v>
      </c>
      <c r="G48" s="911" t="s">
        <v>257</v>
      </c>
      <c r="H48" s="1062" t="s">
        <v>258</v>
      </c>
    </row>
  </sheetData>
  <mergeCells count="6">
    <mergeCell ref="C10:I10"/>
    <mergeCell ref="H2:I2"/>
    <mergeCell ref="A7:I7"/>
    <mergeCell ref="A8:I8"/>
    <mergeCell ref="A9:I9"/>
    <mergeCell ref="H3:I3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35" sqref="D35"/>
    </sheetView>
  </sheetViews>
  <sheetFormatPr defaultColWidth="9.00390625" defaultRowHeight="12.75"/>
  <cols>
    <col min="1" max="1" width="17.375" style="911" customWidth="1"/>
    <col min="2" max="2" width="6.75390625" style="911" customWidth="1"/>
    <col min="3" max="3" width="50.75390625" style="911" customWidth="1"/>
    <col min="4" max="6" width="15.625" style="911" customWidth="1"/>
    <col min="7" max="7" width="16.25390625" style="911" customWidth="1"/>
    <col min="8" max="8" width="15.625" style="911" customWidth="1"/>
    <col min="9" max="16384" width="9.125" style="911" customWidth="1"/>
  </cols>
  <sheetData>
    <row r="1" spans="1:8" ht="12.75">
      <c r="A1" s="1021"/>
      <c r="B1" s="1022"/>
      <c r="C1" s="1023"/>
      <c r="H1" s="1021"/>
    </row>
    <row r="2" spans="2:8" ht="12.75">
      <c r="B2" s="1024"/>
      <c r="C2" s="54"/>
      <c r="G2" s="1214"/>
      <c r="H2" s="1214"/>
    </row>
    <row r="3" spans="1:8" ht="12.75">
      <c r="A3" s="911" t="s">
        <v>508</v>
      </c>
      <c r="C3" s="1025" t="s">
        <v>288</v>
      </c>
      <c r="G3" s="1180" t="s">
        <v>551</v>
      </c>
      <c r="H3" s="1180"/>
    </row>
    <row r="4" spans="1:8" ht="12.75">
      <c r="A4" s="911" t="s">
        <v>496</v>
      </c>
      <c r="C4" s="1025" t="s">
        <v>896</v>
      </c>
      <c r="G4" s="1212"/>
      <c r="H4" s="1212"/>
    </row>
    <row r="5" spans="1:8" ht="12.75">
      <c r="A5" s="911" t="s">
        <v>509</v>
      </c>
      <c r="C5" s="1025" t="s">
        <v>539</v>
      </c>
      <c r="G5" s="1212" t="s">
        <v>504</v>
      </c>
      <c r="H5" s="1212"/>
    </row>
    <row r="7" spans="1:8" ht="12.75">
      <c r="A7" s="1166" t="s">
        <v>555</v>
      </c>
      <c r="B7" s="1166"/>
      <c r="C7" s="1166"/>
      <c r="D7" s="1166"/>
      <c r="E7" s="1166"/>
      <c r="F7" s="1166"/>
      <c r="G7" s="1166"/>
      <c r="H7" s="1166"/>
    </row>
    <row r="8" spans="1:8" ht="12.75">
      <c r="A8" s="1211" t="s">
        <v>556</v>
      </c>
      <c r="B8" s="1211"/>
      <c r="C8" s="1211"/>
      <c r="D8" s="1211"/>
      <c r="E8" s="1211"/>
      <c r="F8" s="1211"/>
      <c r="G8" s="1211"/>
      <c r="H8" s="1211"/>
    </row>
    <row r="9" spans="1:8" ht="12.75">
      <c r="A9" s="1164" t="s">
        <v>491</v>
      </c>
      <c r="B9" s="1165"/>
      <c r="C9" s="1165"/>
      <c r="D9" s="1165"/>
      <c r="E9" s="1165"/>
      <c r="F9" s="1165"/>
      <c r="G9" s="1165"/>
      <c r="H9" s="1165"/>
    </row>
    <row r="10" spans="1:8" ht="12.75">
      <c r="A10" s="1211" t="s">
        <v>557</v>
      </c>
      <c r="B10" s="1211"/>
      <c r="C10" s="1211"/>
      <c r="D10" s="1211"/>
      <c r="E10" s="1211"/>
      <c r="F10" s="1211"/>
      <c r="G10" s="1211"/>
      <c r="H10" s="1211"/>
    </row>
    <row r="11" spans="1:8" ht="12.75">
      <c r="A11" s="920"/>
      <c r="B11" s="920"/>
      <c r="C11" s="1166"/>
      <c r="D11" s="1166"/>
      <c r="E11" s="1166"/>
      <c r="F11" s="1166"/>
      <c r="G11" s="1166"/>
      <c r="H11" s="920"/>
    </row>
    <row r="12" ht="13.5" thickBot="1">
      <c r="H12" s="945" t="s">
        <v>204</v>
      </c>
    </row>
    <row r="13" spans="1:8" s="949" customFormat="1" ht="90" thickBot="1">
      <c r="A13" s="1026" t="s">
        <v>558</v>
      </c>
      <c r="B13" s="1027" t="s">
        <v>559</v>
      </c>
      <c r="C13" s="1028" t="s">
        <v>206</v>
      </c>
      <c r="D13" s="1029" t="s">
        <v>900</v>
      </c>
      <c r="E13" s="1029" t="s">
        <v>208</v>
      </c>
      <c r="F13" s="1030" t="s">
        <v>492</v>
      </c>
      <c r="G13" s="1029" t="s">
        <v>560</v>
      </c>
      <c r="H13" s="1029" t="s">
        <v>561</v>
      </c>
    </row>
    <row r="14" spans="1:8" ht="13.5" thickBot="1">
      <c r="A14" s="1031" t="s">
        <v>210</v>
      </c>
      <c r="B14" s="1032" t="s">
        <v>211</v>
      </c>
      <c r="C14" s="1033" t="s">
        <v>562</v>
      </c>
      <c r="D14" s="1033">
        <v>1</v>
      </c>
      <c r="E14" s="1033">
        <v>2</v>
      </c>
      <c r="F14" s="1034">
        <v>3</v>
      </c>
      <c r="G14" s="1033">
        <v>4</v>
      </c>
      <c r="H14" s="1033" t="s">
        <v>563</v>
      </c>
    </row>
    <row r="15" spans="1:8" ht="13.5" thickBot="1">
      <c r="A15" s="1035"/>
      <c r="B15" s="1036"/>
      <c r="C15" s="1037" t="s">
        <v>213</v>
      </c>
      <c r="D15" s="1038">
        <f>SUM(D17:D21)</f>
        <v>157000</v>
      </c>
      <c r="E15" s="1038">
        <f>SUM(E17:E21)</f>
        <v>157000</v>
      </c>
      <c r="F15" s="1039">
        <f>SUM(F17:F21)</f>
        <v>0</v>
      </c>
      <c r="G15" s="1038">
        <f>SUM(G17:G21)</f>
        <v>127446</v>
      </c>
      <c r="H15" s="1038">
        <f>SUM(H17:H21)</f>
        <v>29554</v>
      </c>
    </row>
    <row r="16" spans="1:8" ht="12.75">
      <c r="A16" s="1040"/>
      <c r="B16" s="1041"/>
      <c r="C16" s="1042" t="s">
        <v>214</v>
      </c>
      <c r="D16" s="1043"/>
      <c r="E16" s="1043"/>
      <c r="F16" s="1043"/>
      <c r="G16" s="1043"/>
      <c r="H16" s="1044"/>
    </row>
    <row r="17" spans="1:8" ht="12.75">
      <c r="A17" s="1040"/>
      <c r="B17" s="1050">
        <v>22005</v>
      </c>
      <c r="C17" s="1045" t="s">
        <v>540</v>
      </c>
      <c r="D17" s="1043">
        <v>157000</v>
      </c>
      <c r="E17" s="1043">
        <v>157000</v>
      </c>
      <c r="F17" s="1043">
        <v>0</v>
      </c>
      <c r="G17" s="1043">
        <v>127446</v>
      </c>
      <c r="H17" s="1043">
        <f>D17-F17-G17</f>
        <v>29554</v>
      </c>
    </row>
    <row r="18" spans="1:8" ht="12.75">
      <c r="A18" s="1040"/>
      <c r="B18" s="1041"/>
      <c r="C18" s="1046"/>
      <c r="D18" s="1043"/>
      <c r="E18" s="1043"/>
      <c r="F18" s="1043"/>
      <c r="G18" s="1043"/>
      <c r="H18" s="1043"/>
    </row>
    <row r="19" spans="1:8" ht="12.75">
      <c r="A19" s="1040"/>
      <c r="B19" s="1041"/>
      <c r="C19" s="1046"/>
      <c r="D19" s="1043"/>
      <c r="E19" s="1043"/>
      <c r="F19" s="1043"/>
      <c r="G19" s="1043"/>
      <c r="H19" s="1043"/>
    </row>
    <row r="20" spans="1:8" ht="12.75">
      <c r="A20" s="1040"/>
      <c r="B20" s="1041"/>
      <c r="C20" s="1046"/>
      <c r="D20" s="1043"/>
      <c r="E20" s="1043"/>
      <c r="F20" s="1043"/>
      <c r="G20" s="1043"/>
      <c r="H20" s="1043"/>
    </row>
    <row r="21" spans="1:8" ht="13.5" thickBot="1">
      <c r="A21" s="1040"/>
      <c r="B21" s="1041"/>
      <c r="C21" s="1047"/>
      <c r="D21" s="1048"/>
      <c r="E21" s="1048"/>
      <c r="F21" s="1048"/>
      <c r="G21" s="1048"/>
      <c r="H21" s="1048"/>
    </row>
    <row r="22" spans="1:8" ht="13.5" thickBot="1">
      <c r="A22" s="1035"/>
      <c r="B22" s="1032"/>
      <c r="C22" s="1049" t="s">
        <v>493</v>
      </c>
      <c r="D22" s="1038">
        <f>SUM(D24:D26)</f>
        <v>0</v>
      </c>
      <c r="E22" s="1038">
        <f>SUM(E24:E26)</f>
        <v>0</v>
      </c>
      <c r="F22" s="1038">
        <f>SUM(F24:F26)</f>
        <v>0</v>
      </c>
      <c r="G22" s="1038">
        <f>SUM(G24:G26)</f>
        <v>0</v>
      </c>
      <c r="H22" s="1038">
        <f>SUM(H24:H26)</f>
        <v>0</v>
      </c>
    </row>
    <row r="23" spans="1:8" ht="12.75">
      <c r="A23" s="1040"/>
      <c r="B23" s="1041"/>
      <c r="C23" s="1042" t="s">
        <v>214</v>
      </c>
      <c r="D23" s="1043"/>
      <c r="E23" s="1043"/>
      <c r="F23" s="1043"/>
      <c r="G23" s="1043"/>
      <c r="H23" s="1043"/>
    </row>
    <row r="24" spans="1:8" ht="12.75">
      <c r="A24" s="1040"/>
      <c r="B24" s="1041"/>
      <c r="C24" s="1046" t="s">
        <v>507</v>
      </c>
      <c r="D24" s="1043">
        <v>0</v>
      </c>
      <c r="E24" s="1043">
        <v>0</v>
      </c>
      <c r="F24" s="1043">
        <v>0</v>
      </c>
      <c r="G24" s="1043">
        <v>0</v>
      </c>
      <c r="H24" s="1043">
        <f>D24-F24-G24</f>
        <v>0</v>
      </c>
    </row>
    <row r="25" spans="1:8" ht="12.75">
      <c r="A25" s="1040"/>
      <c r="B25" s="1041"/>
      <c r="C25" s="1046"/>
      <c r="D25" s="1043"/>
      <c r="E25" s="1043"/>
      <c r="F25" s="1043"/>
      <c r="G25" s="1043"/>
      <c r="H25" s="1043"/>
    </row>
    <row r="26" spans="1:8" ht="13.5" thickBot="1">
      <c r="A26" s="1051"/>
      <c r="B26" s="1052"/>
      <c r="C26" s="1046"/>
      <c r="D26" s="1043"/>
      <c r="E26" s="1043"/>
      <c r="F26" s="1043"/>
      <c r="G26" s="1043"/>
      <c r="H26" s="1048"/>
    </row>
    <row r="27" spans="1:8" ht="13.5" thickBot="1">
      <c r="A27" s="1035"/>
      <c r="B27" s="1032"/>
      <c r="C27" s="1049" t="s">
        <v>494</v>
      </c>
      <c r="D27" s="1038">
        <f>SUM(D29:D31)</f>
        <v>0</v>
      </c>
      <c r="E27" s="1038">
        <f>SUM(E29:E31)</f>
        <v>0</v>
      </c>
      <c r="F27" s="1038">
        <f>SUM(F29:F31)</f>
        <v>0</v>
      </c>
      <c r="G27" s="1038">
        <f>SUM(G29:G31)</f>
        <v>0</v>
      </c>
      <c r="H27" s="1038">
        <f>SUM(H29:H31)</f>
        <v>0</v>
      </c>
    </row>
    <row r="28" spans="1:8" ht="12.75">
      <c r="A28" s="1040"/>
      <c r="B28" s="1052"/>
      <c r="C28" s="1045" t="s">
        <v>214</v>
      </c>
      <c r="D28" s="1043"/>
      <c r="E28" s="1043"/>
      <c r="F28" s="1043"/>
      <c r="G28" s="1043"/>
      <c r="H28" s="1043"/>
    </row>
    <row r="29" spans="1:8" ht="12.75">
      <c r="A29" s="1040"/>
      <c r="B29" s="1052"/>
      <c r="C29" s="1045" t="s">
        <v>566</v>
      </c>
      <c r="D29" s="1043">
        <v>0</v>
      </c>
      <c r="E29" s="1043">
        <v>0</v>
      </c>
      <c r="F29" s="1043">
        <v>0</v>
      </c>
      <c r="G29" s="1043">
        <v>0</v>
      </c>
      <c r="H29" s="1043">
        <f>D29-F29-G29</f>
        <v>0</v>
      </c>
    </row>
    <row r="30" spans="1:8" ht="12.75">
      <c r="A30" s="1051"/>
      <c r="B30" s="1052"/>
      <c r="C30" s="1046"/>
      <c r="D30" s="1043"/>
      <c r="E30" s="1043"/>
      <c r="F30" s="1043"/>
      <c r="G30" s="1043"/>
      <c r="H30" s="1043"/>
    </row>
    <row r="31" spans="1:8" ht="13.5" thickBot="1">
      <c r="A31" s="1051"/>
      <c r="B31" s="1052"/>
      <c r="C31" s="1047"/>
      <c r="D31" s="1048"/>
      <c r="E31" s="1048"/>
      <c r="F31" s="1048"/>
      <c r="G31" s="1048"/>
      <c r="H31" s="1048"/>
    </row>
    <row r="32" spans="1:8" ht="26.25" thickBot="1">
      <c r="A32" s="1053"/>
      <c r="B32" s="1032"/>
      <c r="C32" s="1054" t="s">
        <v>567</v>
      </c>
      <c r="D32" s="1048">
        <f>D15+D22+D27</f>
        <v>157000</v>
      </c>
      <c r="E32" s="1048">
        <f>E15+E22+E27</f>
        <v>157000</v>
      </c>
      <c r="F32" s="1048">
        <f>F15+F22+F27</f>
        <v>0</v>
      </c>
      <c r="G32" s="1048">
        <f>G15+G22+G27</f>
        <v>127446</v>
      </c>
      <c r="H32" s="1048">
        <f>H15+H22+H27</f>
        <v>29554</v>
      </c>
    </row>
    <row r="33" spans="1:8" ht="12.75">
      <c r="A33" s="1055"/>
      <c r="B33" s="1056"/>
      <c r="C33" s="1057"/>
      <c r="D33" s="1055"/>
      <c r="E33" s="1055"/>
      <c r="F33" s="1055"/>
      <c r="G33" s="1055"/>
      <c r="H33" s="1055"/>
    </row>
    <row r="34" ht="12.75">
      <c r="A34" s="879" t="s">
        <v>250</v>
      </c>
    </row>
    <row r="35" spans="1:8" ht="13.5">
      <c r="A35" s="1058" t="s">
        <v>495</v>
      </c>
      <c r="C35" s="879"/>
      <c r="D35" s="54"/>
      <c r="E35" s="54"/>
      <c r="F35" s="54"/>
      <c r="G35" s="54"/>
      <c r="H35" s="54"/>
    </row>
    <row r="36" spans="1:8" ht="12.75">
      <c r="A36" s="879" t="s">
        <v>568</v>
      </c>
      <c r="C36" s="879"/>
      <c r="D36" s="54"/>
      <c r="E36" s="54"/>
      <c r="F36" s="54"/>
      <c r="G36" s="54"/>
      <c r="H36" s="54"/>
    </row>
    <row r="37" spans="1:8" ht="12.75">
      <c r="A37" s="1059" t="s">
        <v>569</v>
      </c>
      <c r="C37" s="879"/>
      <c r="D37" s="54"/>
      <c r="E37" s="54"/>
      <c r="F37" s="54"/>
      <c r="G37" s="54"/>
      <c r="H37" s="54"/>
    </row>
    <row r="38" ht="12.75">
      <c r="A38" s="879" t="s">
        <v>570</v>
      </c>
    </row>
    <row r="39" spans="1:3" ht="12.75">
      <c r="A39" s="1060" t="s">
        <v>484</v>
      </c>
      <c r="C39" s="879"/>
    </row>
    <row r="40" spans="1:7" ht="12.75">
      <c r="A40" s="1059" t="s">
        <v>485</v>
      </c>
      <c r="B40" s="54"/>
      <c r="C40" s="1059"/>
      <c r="D40" s="54"/>
      <c r="E40" s="54"/>
      <c r="F40" s="54"/>
      <c r="G40" s="54"/>
    </row>
    <row r="41" spans="1:3" ht="12.75">
      <c r="A41" s="1059" t="s">
        <v>486</v>
      </c>
      <c r="B41" s="54"/>
      <c r="C41" s="1059"/>
    </row>
    <row r="42" spans="1:3" ht="12.75">
      <c r="A42" s="879" t="s">
        <v>487</v>
      </c>
      <c r="C42" s="879"/>
    </row>
    <row r="43" spans="1:3" ht="12.75">
      <c r="A43" s="879" t="s">
        <v>488</v>
      </c>
      <c r="C43" s="879"/>
    </row>
    <row r="44" spans="1:3" ht="12.75">
      <c r="A44"/>
      <c r="C44" s="879"/>
    </row>
    <row r="45" spans="1:3" ht="12.75">
      <c r="A45" s="1061" t="s">
        <v>489</v>
      </c>
      <c r="C45" s="879"/>
    </row>
    <row r="47" spans="1:7" ht="12.75">
      <c r="A47" s="911" t="s">
        <v>254</v>
      </c>
      <c r="B47" s="911" t="s">
        <v>255</v>
      </c>
      <c r="F47" s="911" t="s">
        <v>256</v>
      </c>
      <c r="G47" s="911" t="s">
        <v>303</v>
      </c>
    </row>
    <row r="48" spans="1:7" ht="12.75">
      <c r="A48" s="911" t="s">
        <v>257</v>
      </c>
      <c r="B48" s="1062" t="s">
        <v>258</v>
      </c>
      <c r="F48" s="911" t="s">
        <v>257</v>
      </c>
      <c r="G48" s="1062" t="s">
        <v>258</v>
      </c>
    </row>
  </sheetData>
  <mergeCells count="9">
    <mergeCell ref="G2:H2"/>
    <mergeCell ref="A9:H9"/>
    <mergeCell ref="C11:G11"/>
    <mergeCell ref="A8:H8"/>
    <mergeCell ref="A7:H7"/>
    <mergeCell ref="A10:H10"/>
    <mergeCell ref="G4:H4"/>
    <mergeCell ref="G3:H3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&amp;C29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B1">
      <selection activeCell="E40" sqref="E40"/>
    </sheetView>
  </sheetViews>
  <sheetFormatPr defaultColWidth="9.00390625" defaultRowHeight="12.75" outlineLevelCol="1"/>
  <cols>
    <col min="1" max="1" width="58.00390625" style="1069" customWidth="1"/>
    <col min="2" max="2" width="9.125" style="1069" customWidth="1"/>
    <col min="3" max="3" width="55.75390625" style="1069" customWidth="1"/>
    <col min="4" max="6" width="15.625" style="1069" customWidth="1"/>
    <col min="7" max="7" width="17.00390625" style="1069" customWidth="1"/>
    <col min="8" max="8" width="9.125" style="1069" customWidth="1"/>
    <col min="9" max="9" width="11.25390625" style="921" hidden="1" customWidth="1" outlineLevel="1"/>
    <col min="10" max="10" width="9.125" style="1069" customWidth="1" collapsed="1"/>
    <col min="11" max="16384" width="9.125" style="1069" customWidth="1"/>
  </cols>
  <sheetData>
    <row r="1" spans="1:7" ht="12.75">
      <c r="A1" s="1021"/>
      <c r="C1" s="1131"/>
      <c r="G1" s="1021"/>
    </row>
    <row r="2" spans="3:7" ht="12.75">
      <c r="C2" s="1068"/>
      <c r="F2" s="1214" t="s">
        <v>729</v>
      </c>
      <c r="G2" s="1214"/>
    </row>
    <row r="3" ht="12.75">
      <c r="A3" s="911" t="s">
        <v>730</v>
      </c>
    </row>
    <row r="4" spans="1:2" ht="14.25">
      <c r="A4" s="911" t="s">
        <v>751</v>
      </c>
      <c r="B4" s="1025" t="s">
        <v>731</v>
      </c>
    </row>
    <row r="5" ht="12.75">
      <c r="A5" s="911" t="s">
        <v>704</v>
      </c>
    </row>
    <row r="6" ht="12.75">
      <c r="C6" s="911"/>
    </row>
    <row r="7" spans="1:8" ht="12.75">
      <c r="A7" s="1166" t="s">
        <v>732</v>
      </c>
      <c r="B7" s="1166"/>
      <c r="C7" s="1166"/>
      <c r="D7" s="1166"/>
      <c r="E7" s="1166"/>
      <c r="F7" s="1166"/>
      <c r="G7" s="1166"/>
      <c r="H7" s="1132"/>
    </row>
    <row r="8" spans="1:7" ht="12.75">
      <c r="A8" s="1217" t="s">
        <v>752</v>
      </c>
      <c r="B8" s="1217"/>
      <c r="C8" s="1217"/>
      <c r="D8" s="1217"/>
      <c r="E8" s="1217"/>
      <c r="F8" s="1217"/>
      <c r="G8" s="1217"/>
    </row>
    <row r="9" spans="1:10" ht="12.75" customHeight="1">
      <c r="A9" s="1218" t="s">
        <v>733</v>
      </c>
      <c r="B9" s="1218"/>
      <c r="C9" s="1218"/>
      <c r="D9" s="1218"/>
      <c r="E9" s="1218"/>
      <c r="F9" s="1218"/>
      <c r="G9" s="1218"/>
      <c r="H9" s="1133"/>
      <c r="I9" s="1067"/>
      <c r="J9" s="1133"/>
    </row>
    <row r="10" spans="3:6" ht="12.75">
      <c r="C10" s="1166"/>
      <c r="D10" s="1166"/>
      <c r="E10" s="1166"/>
      <c r="F10" s="1166"/>
    </row>
    <row r="11" spans="6:9" ht="13.5" thickBot="1">
      <c r="F11" s="732"/>
      <c r="G11" s="945" t="s">
        <v>204</v>
      </c>
      <c r="I11" s="1134" t="s">
        <v>358</v>
      </c>
    </row>
    <row r="12" spans="1:7" ht="64.5" thickBot="1">
      <c r="A12" s="1135" t="s">
        <v>558</v>
      </c>
      <c r="B12" s="1135" t="s">
        <v>559</v>
      </c>
      <c r="C12" s="1136" t="s">
        <v>206</v>
      </c>
      <c r="D12" s="1137" t="s">
        <v>734</v>
      </c>
      <c r="E12" s="1137" t="s">
        <v>735</v>
      </c>
      <c r="F12" s="1137" t="s">
        <v>736</v>
      </c>
      <c r="G12" s="1138" t="s">
        <v>737</v>
      </c>
    </row>
    <row r="13" spans="1:7" ht="13.5" thickBot="1">
      <c r="A13" s="1031" t="s">
        <v>210</v>
      </c>
      <c r="B13" s="1031" t="s">
        <v>211</v>
      </c>
      <c r="C13" s="1033" t="s">
        <v>562</v>
      </c>
      <c r="D13" s="1033">
        <v>1</v>
      </c>
      <c r="E13" s="1033">
        <v>2</v>
      </c>
      <c r="F13" s="1033">
        <v>3</v>
      </c>
      <c r="G13" s="1034" t="s">
        <v>738</v>
      </c>
    </row>
    <row r="14" spans="1:7" ht="13.5" thickBot="1">
      <c r="A14" s="1033"/>
      <c r="B14" s="1033"/>
      <c r="C14" s="1139" t="s">
        <v>739</v>
      </c>
      <c r="D14" s="1039">
        <f>SUM(D16:D20)</f>
        <v>0</v>
      </c>
      <c r="E14" s="1039">
        <f>SUM(E16:E20)</f>
        <v>0</v>
      </c>
      <c r="F14" s="1039">
        <f>SUM(F16:F20)</f>
        <v>0</v>
      </c>
      <c r="G14" s="1039">
        <f>SUM(G16:G20)</f>
        <v>0</v>
      </c>
    </row>
    <row r="15" spans="1:7" ht="12.75">
      <c r="A15" s="1124"/>
      <c r="B15" s="1124"/>
      <c r="C15" s="1120" t="s">
        <v>740</v>
      </c>
      <c r="D15" s="1140"/>
      <c r="E15" s="1140"/>
      <c r="F15" s="1140"/>
      <c r="G15" s="1140"/>
    </row>
    <row r="16" spans="1:7" ht="12.75">
      <c r="A16" s="1124"/>
      <c r="B16" s="1124"/>
      <c r="C16" s="1141"/>
      <c r="D16" s="1140"/>
      <c r="E16" s="1140"/>
      <c r="F16" s="1140"/>
      <c r="G16" s="1140">
        <f>E16-F16</f>
        <v>0</v>
      </c>
    </row>
    <row r="17" spans="1:7" ht="12.75">
      <c r="A17" s="1124"/>
      <c r="B17" s="1124"/>
      <c r="C17" s="1142"/>
      <c r="D17" s="1140"/>
      <c r="E17" s="1140"/>
      <c r="F17" s="1140"/>
      <c r="G17" s="1140">
        <f>E17-F17</f>
        <v>0</v>
      </c>
    </row>
    <row r="18" spans="1:7" ht="12" customHeight="1">
      <c r="A18" s="1124"/>
      <c r="B18" s="1124"/>
      <c r="C18" s="1142"/>
      <c r="D18" s="1140"/>
      <c r="E18" s="1140"/>
      <c r="F18" s="1140"/>
      <c r="G18" s="1140">
        <f>E18-F18</f>
        <v>0</v>
      </c>
    </row>
    <row r="19" spans="1:7" ht="12" customHeight="1">
      <c r="A19" s="1124"/>
      <c r="B19" s="1124"/>
      <c r="C19" s="1142"/>
      <c r="D19" s="1140"/>
      <c r="E19" s="1140"/>
      <c r="F19" s="1140"/>
      <c r="G19" s="1140">
        <f>E19-F19</f>
        <v>0</v>
      </c>
    </row>
    <row r="20" spans="1:8" ht="12" customHeight="1" thickBot="1">
      <c r="A20" s="1124"/>
      <c r="B20" s="1126"/>
      <c r="C20" s="1142"/>
      <c r="D20" s="1143"/>
      <c r="E20" s="1143"/>
      <c r="F20" s="1143"/>
      <c r="G20" s="1144">
        <f>E20-F20</f>
        <v>0</v>
      </c>
      <c r="H20" s="1145"/>
    </row>
    <row r="21" spans="1:7" ht="13.5" thickBot="1">
      <c r="A21" s="1033"/>
      <c r="B21" s="1033"/>
      <c r="C21" s="1146" t="s">
        <v>753</v>
      </c>
      <c r="D21" s="1143">
        <f>SUM(D23:D25)</f>
        <v>1100000</v>
      </c>
      <c r="E21" s="1143">
        <f>SUM(E23:E25)</f>
        <v>1100000</v>
      </c>
      <c r="F21" s="1143">
        <f>SUM(F23:F25)</f>
        <v>1100000</v>
      </c>
      <c r="G21" s="1143">
        <f>SUM(G23:G25)</f>
        <v>0</v>
      </c>
    </row>
    <row r="22" spans="1:7" ht="12" customHeight="1">
      <c r="A22" s="1124"/>
      <c r="B22" s="1124"/>
      <c r="C22" s="1120" t="s">
        <v>740</v>
      </c>
      <c r="D22" s="1147"/>
      <c r="E22" s="1147"/>
      <c r="F22" s="1147"/>
      <c r="G22" s="1147"/>
    </row>
    <row r="23" spans="1:9" ht="12" customHeight="1">
      <c r="A23" s="1124" t="s">
        <v>741</v>
      </c>
      <c r="B23" s="1130">
        <v>36117870</v>
      </c>
      <c r="C23" s="1141" t="s">
        <v>742</v>
      </c>
      <c r="D23" s="1147">
        <v>165000</v>
      </c>
      <c r="E23" s="1147">
        <f>D23</f>
        <v>165000</v>
      </c>
      <c r="F23" s="1147">
        <f>E23</f>
        <v>165000</v>
      </c>
      <c r="G23" s="1147">
        <f>E23-F23</f>
        <v>0</v>
      </c>
      <c r="I23" s="921">
        <v>4710</v>
      </c>
    </row>
    <row r="24" spans="1:9" ht="12" customHeight="1">
      <c r="A24" s="1124"/>
      <c r="B24" s="1130">
        <v>36517871</v>
      </c>
      <c r="C24" s="1141" t="s">
        <v>742</v>
      </c>
      <c r="D24" s="1147">
        <v>935000</v>
      </c>
      <c r="E24" s="1147">
        <f>D24</f>
        <v>935000</v>
      </c>
      <c r="F24" s="1147">
        <f>E24</f>
        <v>935000</v>
      </c>
      <c r="G24" s="1147">
        <f>E24-F24</f>
        <v>0</v>
      </c>
      <c r="I24" s="921" t="s">
        <v>743</v>
      </c>
    </row>
    <row r="25" spans="1:7" ht="13.5" thickBot="1">
      <c r="A25" s="1127"/>
      <c r="B25" s="1126"/>
      <c r="C25" s="1148"/>
      <c r="D25" s="1143"/>
      <c r="E25" s="1143"/>
      <c r="F25" s="1143"/>
      <c r="G25" s="1143">
        <f>E25-F25</f>
        <v>0</v>
      </c>
    </row>
    <row r="26" spans="1:7" ht="13.5" thickBot="1">
      <c r="A26" s="1033"/>
      <c r="B26" s="1033"/>
      <c r="C26" s="1149" t="s">
        <v>744</v>
      </c>
      <c r="D26" s="1150">
        <f>D14+D21</f>
        <v>1100000</v>
      </c>
      <c r="E26" s="1150">
        <f>E14+E21</f>
        <v>1100000</v>
      </c>
      <c r="F26" s="1150">
        <f>F14+F21</f>
        <v>1100000</v>
      </c>
      <c r="G26" s="1150">
        <f>G14+G21</f>
        <v>0</v>
      </c>
    </row>
    <row r="27" spans="2:6" ht="12" customHeight="1">
      <c r="B27" s="1117"/>
      <c r="C27" s="53"/>
      <c r="D27" s="1151"/>
      <c r="E27" s="1151"/>
      <c r="F27" s="1151"/>
    </row>
    <row r="28" spans="1:6" ht="12.75">
      <c r="A28" s="879" t="s">
        <v>250</v>
      </c>
      <c r="D28" s="1152"/>
      <c r="E28" s="1152"/>
      <c r="F28" s="1152"/>
    </row>
    <row r="29" spans="1:6" ht="13.5">
      <c r="A29" s="1153" t="s">
        <v>754</v>
      </c>
      <c r="D29" s="1152"/>
      <c r="E29" s="1152"/>
      <c r="F29" s="1152"/>
    </row>
    <row r="30" spans="1:6" ht="12.75">
      <c r="A30" s="1060" t="s">
        <v>745</v>
      </c>
      <c r="D30" s="1152"/>
      <c r="E30" s="1152"/>
      <c r="F30" s="1152"/>
    </row>
    <row r="31" spans="1:6" ht="12.75">
      <c r="A31" s="879" t="s">
        <v>568</v>
      </c>
      <c r="D31" s="1152"/>
      <c r="E31" s="1152"/>
      <c r="F31" s="1152"/>
    </row>
    <row r="32" spans="1:6" ht="12.75">
      <c r="A32" s="1059" t="s">
        <v>746</v>
      </c>
      <c r="D32" s="1152"/>
      <c r="E32" s="1152"/>
      <c r="F32" s="1152"/>
    </row>
    <row r="33" spans="1:6" ht="12.75">
      <c r="A33" s="1059" t="s">
        <v>755</v>
      </c>
      <c r="D33" s="1152"/>
      <c r="E33" s="1152"/>
      <c r="F33" s="1152"/>
    </row>
    <row r="34" spans="1:6" ht="12.75">
      <c r="A34" s="879" t="s">
        <v>747</v>
      </c>
      <c r="D34" s="1152"/>
      <c r="E34" s="1152"/>
      <c r="F34" s="1152"/>
    </row>
    <row r="35" spans="1:6" ht="12.75">
      <c r="A35" s="1059" t="s">
        <v>748</v>
      </c>
      <c r="C35" s="879"/>
      <c r="D35" s="1152"/>
      <c r="E35" s="1152"/>
      <c r="F35" s="1152"/>
    </row>
    <row r="36" spans="1:6" ht="12.75">
      <c r="A36" s="1059"/>
      <c r="C36" s="752"/>
      <c r="D36" s="1152"/>
      <c r="E36" s="1152"/>
      <c r="F36" s="1152"/>
    </row>
    <row r="37" spans="3:6" ht="12.75">
      <c r="C37" s="1154"/>
      <c r="D37" s="1152"/>
      <c r="E37" s="1152"/>
      <c r="F37" s="1152"/>
    </row>
    <row r="38" spans="1:6" ht="12.75">
      <c r="A38" s="911" t="s">
        <v>749</v>
      </c>
      <c r="D38" s="911"/>
      <c r="E38" s="911" t="s">
        <v>256</v>
      </c>
      <c r="F38" s="942" t="s">
        <v>303</v>
      </c>
    </row>
    <row r="39" spans="1:6" ht="12.75">
      <c r="A39" s="911" t="s">
        <v>750</v>
      </c>
      <c r="D39" s="911"/>
      <c r="E39" s="911" t="s">
        <v>257</v>
      </c>
      <c r="F39" s="1155">
        <v>40205</v>
      </c>
    </row>
  </sheetData>
  <mergeCells count="5">
    <mergeCell ref="C10:F10"/>
    <mergeCell ref="F2:G2"/>
    <mergeCell ref="A7:G7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fitToHeight="1" fitToWidth="1" horizontalDpi="300" verticalDpi="300" orientation="landscape" paperSize="9" scale="73" r:id="rId1"/>
  <headerFooter alignWithMargins="0">
    <oddFooter>&amp;C30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C1">
      <selection activeCell="D39" sqref="D39"/>
    </sheetView>
  </sheetViews>
  <sheetFormatPr defaultColWidth="9.00390625" defaultRowHeight="12.75" outlineLevelCol="1"/>
  <cols>
    <col min="1" max="1" width="58.00390625" style="1069" customWidth="1"/>
    <col min="2" max="2" width="9.125" style="1069" customWidth="1"/>
    <col min="3" max="3" width="55.75390625" style="1069" customWidth="1"/>
    <col min="4" max="6" width="15.625" style="1069" customWidth="1"/>
    <col min="7" max="7" width="17.00390625" style="1069" customWidth="1"/>
    <col min="8" max="8" width="9.125" style="1069" customWidth="1"/>
    <col min="9" max="9" width="11.25390625" style="921" hidden="1" customWidth="1" outlineLevel="1"/>
    <col min="10" max="10" width="9.125" style="1069" customWidth="1" collapsed="1"/>
    <col min="11" max="16384" width="9.125" style="1069" customWidth="1"/>
  </cols>
  <sheetData>
    <row r="1" spans="1:7" ht="12.75">
      <c r="A1" s="1021"/>
      <c r="C1" s="1131"/>
      <c r="G1" s="1021"/>
    </row>
    <row r="2" spans="3:7" ht="12.75">
      <c r="C2" s="1068"/>
      <c r="F2" s="1214" t="s">
        <v>729</v>
      </c>
      <c r="G2" s="1214"/>
    </row>
    <row r="3" ht="12.75">
      <c r="A3" s="911" t="s">
        <v>730</v>
      </c>
    </row>
    <row r="4" spans="1:2" ht="14.25">
      <c r="A4" s="911" t="s">
        <v>762</v>
      </c>
      <c r="B4" s="1025" t="s">
        <v>756</v>
      </c>
    </row>
    <row r="5" ht="12.75">
      <c r="A5" s="911" t="s">
        <v>704</v>
      </c>
    </row>
    <row r="6" ht="12.75">
      <c r="C6" s="911"/>
    </row>
    <row r="7" spans="1:8" ht="12.75">
      <c r="A7" s="1166" t="s">
        <v>732</v>
      </c>
      <c r="B7" s="1166"/>
      <c r="C7" s="1166"/>
      <c r="D7" s="1166"/>
      <c r="E7" s="1166"/>
      <c r="F7" s="1166"/>
      <c r="G7" s="1166"/>
      <c r="H7" s="1132"/>
    </row>
    <row r="8" spans="1:7" ht="12.75">
      <c r="A8" s="1217" t="s">
        <v>752</v>
      </c>
      <c r="B8" s="1217"/>
      <c r="C8" s="1217"/>
      <c r="D8" s="1217"/>
      <c r="E8" s="1217"/>
      <c r="F8" s="1217"/>
      <c r="G8" s="1217"/>
    </row>
    <row r="9" spans="1:10" ht="12.75" customHeight="1">
      <c r="A9" s="1218" t="s">
        <v>733</v>
      </c>
      <c r="B9" s="1218"/>
      <c r="C9" s="1218"/>
      <c r="D9" s="1218"/>
      <c r="E9" s="1218"/>
      <c r="F9" s="1218"/>
      <c r="G9" s="1218"/>
      <c r="H9" s="1133"/>
      <c r="I9" s="1067"/>
      <c r="J9" s="1133"/>
    </row>
    <row r="10" spans="3:6" ht="12.75">
      <c r="C10" s="1166"/>
      <c r="D10" s="1166"/>
      <c r="E10" s="1166"/>
      <c r="F10" s="1166"/>
    </row>
    <row r="11" spans="6:9" ht="13.5" thickBot="1">
      <c r="F11" s="732"/>
      <c r="G11" s="945" t="s">
        <v>204</v>
      </c>
      <c r="I11" s="1134" t="s">
        <v>358</v>
      </c>
    </row>
    <row r="12" spans="1:7" ht="64.5" thickBot="1">
      <c r="A12" s="1135" t="s">
        <v>558</v>
      </c>
      <c r="B12" s="1135" t="s">
        <v>559</v>
      </c>
      <c r="C12" s="1136" t="s">
        <v>206</v>
      </c>
      <c r="D12" s="1137" t="s">
        <v>734</v>
      </c>
      <c r="E12" s="1137" t="s">
        <v>735</v>
      </c>
      <c r="F12" s="1137" t="s">
        <v>736</v>
      </c>
      <c r="G12" s="1138" t="s">
        <v>737</v>
      </c>
    </row>
    <row r="13" spans="1:7" ht="13.5" thickBot="1">
      <c r="A13" s="1031" t="s">
        <v>210</v>
      </c>
      <c r="B13" s="1031" t="s">
        <v>211</v>
      </c>
      <c r="C13" s="1033" t="s">
        <v>562</v>
      </c>
      <c r="D13" s="1033">
        <v>1</v>
      </c>
      <c r="E13" s="1033">
        <v>2</v>
      </c>
      <c r="F13" s="1033">
        <v>3</v>
      </c>
      <c r="G13" s="1034" t="s">
        <v>738</v>
      </c>
    </row>
    <row r="14" spans="1:7" ht="13.5" thickBot="1">
      <c r="A14" s="1033"/>
      <c r="B14" s="1033"/>
      <c r="C14" s="1139" t="s">
        <v>739</v>
      </c>
      <c r="D14" s="1039">
        <f>SUM(D16:D20)</f>
        <v>0</v>
      </c>
      <c r="E14" s="1039">
        <f>SUM(E16:E20)</f>
        <v>0</v>
      </c>
      <c r="F14" s="1039">
        <f>SUM(F16:F20)</f>
        <v>0</v>
      </c>
      <c r="G14" s="1039">
        <f>SUM(G16:G20)</f>
        <v>0</v>
      </c>
    </row>
    <row r="15" spans="1:7" ht="12.75">
      <c r="A15" s="1124"/>
      <c r="B15" s="1124"/>
      <c r="C15" s="1120" t="s">
        <v>740</v>
      </c>
      <c r="D15" s="1140"/>
      <c r="E15" s="1140"/>
      <c r="F15" s="1140"/>
      <c r="G15" s="1140"/>
    </row>
    <row r="16" spans="1:7" ht="12.75">
      <c r="A16" s="1124"/>
      <c r="B16" s="1124"/>
      <c r="C16" s="1141"/>
      <c r="D16" s="1140"/>
      <c r="E16" s="1140"/>
      <c r="F16" s="1140"/>
      <c r="G16" s="1140">
        <f>E16-F16</f>
        <v>0</v>
      </c>
    </row>
    <row r="17" spans="1:7" ht="12.75">
      <c r="A17" s="1124"/>
      <c r="B17" s="1124"/>
      <c r="C17" s="1142"/>
      <c r="D17" s="1140"/>
      <c r="E17" s="1140"/>
      <c r="F17" s="1140"/>
      <c r="G17" s="1140">
        <f>E17-F17</f>
        <v>0</v>
      </c>
    </row>
    <row r="18" spans="1:7" ht="12" customHeight="1">
      <c r="A18" s="1124"/>
      <c r="B18" s="1124"/>
      <c r="C18" s="1142"/>
      <c r="D18" s="1140"/>
      <c r="E18" s="1140"/>
      <c r="F18" s="1140"/>
      <c r="G18" s="1140">
        <f>E18-F18</f>
        <v>0</v>
      </c>
    </row>
    <row r="19" spans="1:7" ht="12" customHeight="1">
      <c r="A19" s="1124"/>
      <c r="B19" s="1124"/>
      <c r="C19" s="1142"/>
      <c r="D19" s="1140"/>
      <c r="E19" s="1140"/>
      <c r="F19" s="1140"/>
      <c r="G19" s="1140">
        <f>E19-F19</f>
        <v>0</v>
      </c>
    </row>
    <row r="20" spans="1:8" ht="12" customHeight="1" thickBot="1">
      <c r="A20" s="1124"/>
      <c r="B20" s="1126"/>
      <c r="C20" s="1142"/>
      <c r="D20" s="1143"/>
      <c r="E20" s="1143"/>
      <c r="F20" s="1143"/>
      <c r="G20" s="1144">
        <f>E20-F20</f>
        <v>0</v>
      </c>
      <c r="H20" s="1145"/>
    </row>
    <row r="21" spans="1:7" ht="13.5" thickBot="1">
      <c r="A21" s="1033"/>
      <c r="B21" s="1033"/>
      <c r="C21" s="1146" t="s">
        <v>753</v>
      </c>
      <c r="D21" s="1143">
        <f>SUM(D23:D27)</f>
        <v>4084423</v>
      </c>
      <c r="E21" s="1143">
        <f>SUM(E23:E27)</f>
        <v>4084423</v>
      </c>
      <c r="F21" s="1143">
        <f>SUM(F23:F27)</f>
        <v>4084423</v>
      </c>
      <c r="G21" s="1143">
        <f>SUM(G23:G27)</f>
        <v>0</v>
      </c>
    </row>
    <row r="22" spans="1:7" ht="12" customHeight="1">
      <c r="A22" s="1124"/>
      <c r="B22" s="1124"/>
      <c r="C22" s="1120" t="s">
        <v>740</v>
      </c>
      <c r="D22" s="1147"/>
      <c r="E22" s="1147"/>
      <c r="F22" s="1147"/>
      <c r="G22" s="1147"/>
    </row>
    <row r="23" spans="1:9" ht="12" customHeight="1">
      <c r="A23" s="1124" t="s">
        <v>757</v>
      </c>
      <c r="B23" s="1130">
        <v>27189505</v>
      </c>
      <c r="C23" s="1141" t="s">
        <v>758</v>
      </c>
      <c r="D23" s="1147">
        <v>970488</v>
      </c>
      <c r="E23" s="1147">
        <f>D23</f>
        <v>970488</v>
      </c>
      <c r="F23" s="1147">
        <f>17000+53569.13+255715.72+21839.98+33795.17+522750.17+24178.07+41639.76</f>
        <v>970487.9999999999</v>
      </c>
      <c r="G23" s="1147">
        <f>E23-F23</f>
        <v>0</v>
      </c>
      <c r="I23" s="921">
        <v>14805</v>
      </c>
    </row>
    <row r="24" spans="1:7" ht="12" customHeight="1">
      <c r="A24" s="1124" t="s">
        <v>759</v>
      </c>
      <c r="B24" s="1130">
        <v>27589506</v>
      </c>
      <c r="C24" s="1141" t="s">
        <v>758</v>
      </c>
      <c r="D24" s="1147">
        <v>2911462</v>
      </c>
      <c r="E24" s="1147">
        <f>D24</f>
        <v>2911462</v>
      </c>
      <c r="F24" s="1147">
        <f>51000+160707.37+767147.16+65519.96+101385.51+1568250.51+72534.2+124917.29</f>
        <v>2911462</v>
      </c>
      <c r="G24" s="1147">
        <f>E24-F24</f>
        <v>0</v>
      </c>
    </row>
    <row r="25" spans="1:9" ht="12" customHeight="1">
      <c r="A25" s="1124" t="s">
        <v>760</v>
      </c>
      <c r="B25" s="1130">
        <v>27189509</v>
      </c>
      <c r="C25" s="1141" t="s">
        <v>761</v>
      </c>
      <c r="D25" s="1147">
        <v>40495</v>
      </c>
      <c r="E25" s="1147">
        <f>D25</f>
        <v>40495</v>
      </c>
      <c r="F25" s="1147">
        <f>E25</f>
        <v>40495</v>
      </c>
      <c r="G25" s="1147">
        <f>E25-F25</f>
        <v>0</v>
      </c>
      <c r="I25" s="921">
        <v>14890</v>
      </c>
    </row>
    <row r="26" spans="1:7" ht="12" customHeight="1">
      <c r="A26" s="1124" t="s">
        <v>759</v>
      </c>
      <c r="B26" s="1130">
        <v>27589510</v>
      </c>
      <c r="C26" s="1141" t="s">
        <v>761</v>
      </c>
      <c r="D26" s="1147">
        <v>161978</v>
      </c>
      <c r="E26" s="1147">
        <f>D26</f>
        <v>161978</v>
      </c>
      <c r="F26" s="1147">
        <f>E26</f>
        <v>161978</v>
      </c>
      <c r="G26" s="1147">
        <f>E26-F26</f>
        <v>0</v>
      </c>
    </row>
    <row r="27" spans="1:7" ht="13.5" thickBot="1">
      <c r="A27" s="1127"/>
      <c r="B27" s="1126"/>
      <c r="C27" s="1148"/>
      <c r="D27" s="1143"/>
      <c r="E27" s="1143"/>
      <c r="F27" s="1143"/>
      <c r="G27" s="1143">
        <f>E27-F27</f>
        <v>0</v>
      </c>
    </row>
    <row r="28" spans="1:7" ht="13.5" thickBot="1">
      <c r="A28" s="1033"/>
      <c r="B28" s="1033"/>
      <c r="C28" s="1149" t="s">
        <v>744</v>
      </c>
      <c r="D28" s="1150">
        <f>D14+D21</f>
        <v>4084423</v>
      </c>
      <c r="E28" s="1150">
        <f>E14+E21</f>
        <v>4084423</v>
      </c>
      <c r="F28" s="1150">
        <f>F14+F21</f>
        <v>4084423</v>
      </c>
      <c r="G28" s="1150">
        <f>G14+G21</f>
        <v>0</v>
      </c>
    </row>
    <row r="29" spans="2:6" ht="12" customHeight="1">
      <c r="B29" s="1117"/>
      <c r="C29" s="53"/>
      <c r="D29" s="1151"/>
      <c r="E29" s="1151"/>
      <c r="F29" s="1151"/>
    </row>
    <row r="30" spans="1:6" ht="12.75">
      <c r="A30" s="879" t="s">
        <v>250</v>
      </c>
      <c r="D30" s="1152"/>
      <c r="E30" s="1152"/>
      <c r="F30" s="1152"/>
    </row>
    <row r="31" spans="1:6" ht="13.5">
      <c r="A31" s="1153" t="s">
        <v>754</v>
      </c>
      <c r="D31" s="1152"/>
      <c r="E31" s="1152"/>
      <c r="F31" s="1152"/>
    </row>
    <row r="32" spans="1:6" ht="12.75">
      <c r="A32" s="1060" t="s">
        <v>745</v>
      </c>
      <c r="D32" s="1152"/>
      <c r="E32" s="1152"/>
      <c r="F32" s="1152"/>
    </row>
    <row r="33" spans="1:6" ht="12.75">
      <c r="A33" s="879" t="s">
        <v>568</v>
      </c>
      <c r="D33" s="1152"/>
      <c r="E33" s="1152"/>
      <c r="F33" s="1152"/>
    </row>
    <row r="34" spans="1:6" ht="12.75">
      <c r="A34" s="1059" t="s">
        <v>746</v>
      </c>
      <c r="D34" s="1152"/>
      <c r="E34" s="1152"/>
      <c r="F34" s="1152"/>
    </row>
    <row r="35" spans="1:6" ht="12.75">
      <c r="A35" s="1059" t="s">
        <v>755</v>
      </c>
      <c r="D35" s="1152"/>
      <c r="E35" s="1152"/>
      <c r="F35" s="1152"/>
    </row>
    <row r="36" spans="1:6" ht="12.75">
      <c r="A36" s="879" t="s">
        <v>747</v>
      </c>
      <c r="D36" s="1152"/>
      <c r="E36" s="1152"/>
      <c r="F36" s="1152"/>
    </row>
    <row r="37" spans="1:6" ht="12.75">
      <c r="A37" s="1059" t="s">
        <v>748</v>
      </c>
      <c r="C37" s="879"/>
      <c r="D37" s="1152"/>
      <c r="E37" s="1152"/>
      <c r="F37" s="1152"/>
    </row>
    <row r="38" spans="1:6" ht="12.75">
      <c r="A38" s="1059"/>
      <c r="C38" s="752"/>
      <c r="D38" s="1152"/>
      <c r="E38" s="1152"/>
      <c r="F38" s="1152"/>
    </row>
    <row r="39" spans="3:6" ht="12.75">
      <c r="C39" s="1154"/>
      <c r="D39" s="1152"/>
      <c r="E39" s="1152"/>
      <c r="F39" s="1152"/>
    </row>
    <row r="40" spans="1:6" ht="12.75">
      <c r="A40" s="911" t="s">
        <v>749</v>
      </c>
      <c r="D40" s="911"/>
      <c r="E40" s="911" t="s">
        <v>256</v>
      </c>
      <c r="F40" s="942" t="s">
        <v>303</v>
      </c>
    </row>
    <row r="41" spans="1:6" ht="12.75">
      <c r="A41" s="911" t="s">
        <v>750</v>
      </c>
      <c r="D41" s="911"/>
      <c r="E41" s="911" t="s">
        <v>257</v>
      </c>
      <c r="F41" s="1155">
        <v>40205</v>
      </c>
    </row>
  </sheetData>
  <mergeCells count="5">
    <mergeCell ref="C10:F10"/>
    <mergeCell ref="F2:G2"/>
    <mergeCell ref="A7:G7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fitToHeight="1" fitToWidth="1" horizontalDpi="300" verticalDpi="300" orientation="landscape" paperSize="9" scale="73" r:id="rId1"/>
  <headerFooter alignWithMargins="0">
    <oddFooter>&amp;C31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118"/>
  <sheetViews>
    <sheetView zoomScaleSheetLayoutView="100" workbookViewId="0" topLeftCell="A1">
      <pane xSplit="5" ySplit="1" topLeftCell="F3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47" sqref="E47"/>
    </sheetView>
  </sheetViews>
  <sheetFormatPr defaultColWidth="9.00390625" defaultRowHeight="12.75" outlineLevelCol="1"/>
  <cols>
    <col min="1" max="3" width="6.75390625" style="157" customWidth="1"/>
    <col min="4" max="4" width="4.375" style="157" customWidth="1"/>
    <col min="5" max="5" width="67.625" style="158" customWidth="1" outlineLevel="1"/>
    <col min="6" max="6" width="12.75390625" style="179" customWidth="1"/>
    <col min="7" max="7" width="13.625" style="179" hidden="1" customWidth="1" outlineLevel="1"/>
    <col min="8" max="8" width="14.00390625" style="179" hidden="1" customWidth="1" outlineLevel="1"/>
    <col min="9" max="9" width="14.25390625" style="179" hidden="1" customWidth="1" collapsed="1"/>
    <col min="10" max="10" width="14.25390625" style="179" customWidth="1"/>
    <col min="11" max="11" width="13.625" style="179" customWidth="1" outlineLevel="1"/>
    <col min="12" max="12" width="9.00390625" style="179" customWidth="1" outlineLevel="1"/>
    <col min="13" max="13" width="14.125" style="179" hidden="1" customWidth="1" outlineLevel="1"/>
    <col min="14" max="14" width="15.25390625" style="179" hidden="1" customWidth="1" outlineLevel="1"/>
    <col min="15" max="15" width="42.25390625" style="160" customWidth="1" collapsed="1"/>
    <col min="16" max="21" width="9.125" style="67" customWidth="1"/>
    <col min="22" max="16384" width="9.125" style="72" customWidth="1"/>
  </cols>
  <sheetData>
    <row r="1" spans="1:15" s="57" customFormat="1" ht="54.75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926</v>
      </c>
      <c r="G1" s="56" t="s">
        <v>927</v>
      </c>
      <c r="H1" s="56" t="s">
        <v>928</v>
      </c>
      <c r="I1" s="56" t="s">
        <v>929</v>
      </c>
      <c r="J1" s="56" t="s">
        <v>1140</v>
      </c>
      <c r="K1" s="56" t="s">
        <v>1141</v>
      </c>
      <c r="L1" s="56" t="s">
        <v>976</v>
      </c>
      <c r="M1" s="56" t="s">
        <v>276</v>
      </c>
      <c r="N1" s="56" t="s">
        <v>977</v>
      </c>
      <c r="O1" s="56" t="s">
        <v>327</v>
      </c>
    </row>
    <row r="2" spans="1:15" s="61" customFormat="1" ht="30.75" customHeight="1">
      <c r="A2" s="58" t="s">
        <v>930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1" s="68" customFormat="1" ht="15.75" customHeight="1">
      <c r="A3" s="62">
        <v>14766</v>
      </c>
      <c r="B3" s="62">
        <v>2212</v>
      </c>
      <c r="C3" s="62">
        <v>6121</v>
      </c>
      <c r="D3" s="62">
        <v>1</v>
      </c>
      <c r="E3" s="63" t="s">
        <v>931</v>
      </c>
      <c r="F3" s="64"/>
      <c r="G3" s="65">
        <v>1280000</v>
      </c>
      <c r="H3" s="65"/>
      <c r="I3" s="65">
        <f aca="true" t="shared" si="0" ref="I3:I33">G3+H3</f>
        <v>1280000</v>
      </c>
      <c r="J3" s="65">
        <f>N3</f>
        <v>1280000</v>
      </c>
      <c r="K3" s="65">
        <v>1267696.6</v>
      </c>
      <c r="L3" s="65">
        <f>K3/J3*100</f>
        <v>99.03879687500002</v>
      </c>
      <c r="M3" s="65"/>
      <c r="N3" s="65">
        <f aca="true" t="shared" si="1" ref="N3:N33">I3-M3</f>
        <v>1280000</v>
      </c>
      <c r="O3" s="66" t="s">
        <v>932</v>
      </c>
      <c r="P3" s="67"/>
      <c r="Q3" s="67"/>
      <c r="R3" s="67"/>
      <c r="S3" s="67"/>
      <c r="T3" s="67"/>
      <c r="U3" s="67"/>
    </row>
    <row r="4" spans="1:21" s="68" customFormat="1" ht="15.75" customHeight="1">
      <c r="A4" s="62">
        <v>15014</v>
      </c>
      <c r="B4" s="62">
        <v>3421</v>
      </c>
      <c r="C4" s="62">
        <v>6121</v>
      </c>
      <c r="D4" s="62">
        <v>2</v>
      </c>
      <c r="E4" s="63" t="s">
        <v>933</v>
      </c>
      <c r="F4" s="64">
        <v>0</v>
      </c>
      <c r="G4" s="65">
        <v>427500</v>
      </c>
      <c r="H4" s="65"/>
      <c r="I4" s="65">
        <f t="shared" si="0"/>
        <v>427500</v>
      </c>
      <c r="J4" s="65">
        <f>N4</f>
        <v>427500</v>
      </c>
      <c r="K4" s="65">
        <v>427118.3</v>
      </c>
      <c r="L4" s="65">
        <f>K4/J4*100</f>
        <v>99.9107134502924</v>
      </c>
      <c r="M4" s="65"/>
      <c r="N4" s="65">
        <f t="shared" si="1"/>
        <v>427500</v>
      </c>
      <c r="O4" s="66" t="s">
        <v>932</v>
      </c>
      <c r="P4" s="67"/>
      <c r="Q4" s="67"/>
      <c r="R4" s="67"/>
      <c r="S4" s="67"/>
      <c r="T4" s="67"/>
      <c r="U4" s="67"/>
    </row>
    <row r="5" spans="1:21" s="68" customFormat="1" ht="15.75" customHeight="1">
      <c r="A5" s="62">
        <v>14801</v>
      </c>
      <c r="B5" s="62">
        <v>2212</v>
      </c>
      <c r="C5" s="62">
        <v>6121</v>
      </c>
      <c r="D5" s="62">
        <v>3</v>
      </c>
      <c r="E5" s="63" t="s">
        <v>934</v>
      </c>
      <c r="F5" s="64">
        <v>0</v>
      </c>
      <c r="G5" s="65">
        <v>4300000</v>
      </c>
      <c r="H5" s="65"/>
      <c r="I5" s="65">
        <f t="shared" si="0"/>
        <v>4300000</v>
      </c>
      <c r="J5" s="65">
        <v>0</v>
      </c>
      <c r="K5" s="65"/>
      <c r="L5" s="65"/>
      <c r="M5" s="65">
        <v>4300000</v>
      </c>
      <c r="N5" s="65">
        <f t="shared" si="1"/>
        <v>0</v>
      </c>
      <c r="O5" s="66" t="s">
        <v>932</v>
      </c>
      <c r="P5" s="67"/>
      <c r="Q5" s="67"/>
      <c r="R5" s="67"/>
      <c r="S5" s="67"/>
      <c r="T5" s="67"/>
      <c r="U5" s="67"/>
    </row>
    <row r="6" spans="1:21" s="68" customFormat="1" ht="15.75" customHeight="1">
      <c r="A6" s="62">
        <v>14690</v>
      </c>
      <c r="B6" s="62">
        <v>2212</v>
      </c>
      <c r="C6" s="62">
        <v>6121</v>
      </c>
      <c r="D6" s="62">
        <v>4</v>
      </c>
      <c r="E6" s="63" t="s">
        <v>181</v>
      </c>
      <c r="F6" s="64">
        <v>19390</v>
      </c>
      <c r="G6" s="65">
        <v>17191000</v>
      </c>
      <c r="H6" s="65"/>
      <c r="I6" s="65">
        <f t="shared" si="0"/>
        <v>17191000</v>
      </c>
      <c r="J6" s="65">
        <f>N6</f>
        <v>17191000</v>
      </c>
      <c r="K6" s="65">
        <f>4918279.05+12195107.82</f>
        <v>17113386.87</v>
      </c>
      <c r="L6" s="65">
        <f>K6/J6*100</f>
        <v>99.54852463498342</v>
      </c>
      <c r="M6" s="65"/>
      <c r="N6" s="65">
        <f t="shared" si="1"/>
        <v>17191000</v>
      </c>
      <c r="O6" s="66" t="s">
        <v>932</v>
      </c>
      <c r="P6" s="67"/>
      <c r="Q6" s="67"/>
      <c r="R6" s="67"/>
      <c r="S6" s="67"/>
      <c r="T6" s="67"/>
      <c r="U6" s="67"/>
    </row>
    <row r="7" spans="1:21" s="68" customFormat="1" ht="15.75" customHeight="1">
      <c r="A7" s="62">
        <v>14887</v>
      </c>
      <c r="B7" s="62">
        <v>2212</v>
      </c>
      <c r="C7" s="62">
        <v>6121</v>
      </c>
      <c r="D7" s="62">
        <v>5</v>
      </c>
      <c r="E7" s="63" t="s">
        <v>935</v>
      </c>
      <c r="F7" s="64">
        <v>0</v>
      </c>
      <c r="G7" s="65">
        <v>5002000</v>
      </c>
      <c r="H7" s="65"/>
      <c r="I7" s="65">
        <f t="shared" si="0"/>
        <v>5002000</v>
      </c>
      <c r="J7" s="65">
        <f>N7</f>
        <v>5002000</v>
      </c>
      <c r="K7" s="65">
        <v>4981618.77</v>
      </c>
      <c r="L7" s="65">
        <f>K7/J7*100</f>
        <v>99.59253838464613</v>
      </c>
      <c r="M7" s="65"/>
      <c r="N7" s="65">
        <f t="shared" si="1"/>
        <v>5002000</v>
      </c>
      <c r="O7" s="66" t="s">
        <v>932</v>
      </c>
      <c r="P7" s="67"/>
      <c r="Q7" s="67"/>
      <c r="R7" s="67"/>
      <c r="S7" s="67"/>
      <c r="T7" s="67"/>
      <c r="U7" s="67"/>
    </row>
    <row r="8" spans="1:21" s="68" customFormat="1" ht="15.75" customHeight="1">
      <c r="A8" s="62">
        <v>14957</v>
      </c>
      <c r="B8" s="62">
        <v>3421</v>
      </c>
      <c r="C8" s="62">
        <v>6121</v>
      </c>
      <c r="D8" s="62">
        <v>6</v>
      </c>
      <c r="E8" s="63" t="s">
        <v>936</v>
      </c>
      <c r="F8" s="64">
        <v>0</v>
      </c>
      <c r="G8" s="65">
        <v>2500000</v>
      </c>
      <c r="H8" s="65"/>
      <c r="I8" s="65">
        <f t="shared" si="0"/>
        <v>2500000</v>
      </c>
      <c r="J8" s="65">
        <v>100000</v>
      </c>
      <c r="K8" s="65"/>
      <c r="L8" s="65"/>
      <c r="M8" s="65">
        <v>1300000</v>
      </c>
      <c r="N8" s="65">
        <f t="shared" si="1"/>
        <v>1200000</v>
      </c>
      <c r="O8" s="66" t="s">
        <v>932</v>
      </c>
      <c r="P8" s="67"/>
      <c r="Q8" s="67"/>
      <c r="R8" s="67"/>
      <c r="S8" s="67"/>
      <c r="T8" s="67"/>
      <c r="U8" s="67"/>
    </row>
    <row r="9" spans="1:21" s="68" customFormat="1" ht="15.75" customHeight="1">
      <c r="A9" s="62">
        <v>15029</v>
      </c>
      <c r="B9" s="62">
        <v>2221</v>
      </c>
      <c r="C9" s="62">
        <v>6121</v>
      </c>
      <c r="D9" s="62">
        <v>7</v>
      </c>
      <c r="E9" s="63" t="s">
        <v>937</v>
      </c>
      <c r="F9" s="64">
        <v>0</v>
      </c>
      <c r="G9" s="65">
        <v>250000</v>
      </c>
      <c r="H9" s="65"/>
      <c r="I9" s="65">
        <f t="shared" si="0"/>
        <v>250000</v>
      </c>
      <c r="J9" s="65">
        <f>N9</f>
        <v>250000</v>
      </c>
      <c r="K9" s="65">
        <v>250000</v>
      </c>
      <c r="L9" s="65">
        <f>K9/J9*100</f>
        <v>100</v>
      </c>
      <c r="M9" s="65"/>
      <c r="N9" s="65">
        <f t="shared" si="1"/>
        <v>250000</v>
      </c>
      <c r="O9" s="66" t="s">
        <v>938</v>
      </c>
      <c r="P9" s="67"/>
      <c r="Q9" s="67"/>
      <c r="R9" s="67"/>
      <c r="S9" s="67"/>
      <c r="T9" s="67"/>
      <c r="U9" s="67"/>
    </row>
    <row r="10" spans="1:21" s="68" customFormat="1" ht="15.75" customHeight="1">
      <c r="A10" s="62">
        <v>14357</v>
      </c>
      <c r="B10" s="62">
        <v>2219</v>
      </c>
      <c r="C10" s="62">
        <v>6121</v>
      </c>
      <c r="D10" s="62">
        <v>8</v>
      </c>
      <c r="E10" s="63" t="s">
        <v>940</v>
      </c>
      <c r="F10" s="64">
        <v>0</v>
      </c>
      <c r="G10" s="65">
        <v>2320000</v>
      </c>
      <c r="H10" s="65"/>
      <c r="I10" s="65">
        <f t="shared" si="0"/>
        <v>2320000</v>
      </c>
      <c r="J10" s="65">
        <f>N10+180000</f>
        <v>2500000</v>
      </c>
      <c r="K10" s="65">
        <v>2223753.4</v>
      </c>
      <c r="L10" s="65">
        <f>K10/J10*100</f>
        <v>88.95013599999999</v>
      </c>
      <c r="M10" s="65"/>
      <c r="N10" s="65">
        <f t="shared" si="1"/>
        <v>2320000</v>
      </c>
      <c r="O10" s="66" t="s">
        <v>932</v>
      </c>
      <c r="P10" s="67"/>
      <c r="Q10" s="67"/>
      <c r="R10" s="67"/>
      <c r="S10" s="67"/>
      <c r="T10" s="67"/>
      <c r="U10" s="67"/>
    </row>
    <row r="11" spans="1:15" ht="15.75" customHeight="1">
      <c r="A11" s="69">
        <v>14770</v>
      </c>
      <c r="B11" s="69">
        <v>6171</v>
      </c>
      <c r="C11" s="69">
        <v>6121</v>
      </c>
      <c r="D11" s="62">
        <v>9</v>
      </c>
      <c r="E11" s="63" t="s">
        <v>941</v>
      </c>
      <c r="F11" s="70">
        <v>3000</v>
      </c>
      <c r="G11" s="71">
        <v>0</v>
      </c>
      <c r="H11" s="71"/>
      <c r="I11" s="65">
        <f t="shared" si="0"/>
        <v>0</v>
      </c>
      <c r="J11" s="65">
        <f aca="true" t="shared" si="2" ref="J11:J22">N11</f>
        <v>0</v>
      </c>
      <c r="K11" s="65"/>
      <c r="L11" s="65"/>
      <c r="M11" s="65"/>
      <c r="N11" s="65">
        <f t="shared" si="1"/>
        <v>0</v>
      </c>
      <c r="O11" s="66" t="s">
        <v>932</v>
      </c>
    </row>
    <row r="12" spans="1:15" ht="15.75" customHeight="1">
      <c r="A12" s="73">
        <v>14524</v>
      </c>
      <c r="B12" s="73">
        <v>6171</v>
      </c>
      <c r="C12" s="73">
        <v>6121</v>
      </c>
      <c r="D12" s="62">
        <v>10</v>
      </c>
      <c r="E12" s="63" t="s">
        <v>942</v>
      </c>
      <c r="F12" s="70">
        <v>1040</v>
      </c>
      <c r="G12" s="71">
        <v>0</v>
      </c>
      <c r="H12" s="71"/>
      <c r="I12" s="65">
        <f t="shared" si="0"/>
        <v>0</v>
      </c>
      <c r="J12" s="65">
        <f t="shared" si="2"/>
        <v>0</v>
      </c>
      <c r="K12" s="65"/>
      <c r="L12" s="65"/>
      <c r="M12" s="65"/>
      <c r="N12" s="65">
        <f t="shared" si="1"/>
        <v>0</v>
      </c>
      <c r="O12" s="66" t="s">
        <v>932</v>
      </c>
    </row>
    <row r="13" spans="1:15" ht="15.75" customHeight="1">
      <c r="A13" s="74">
        <v>14900</v>
      </c>
      <c r="B13" s="75">
        <v>6171</v>
      </c>
      <c r="C13" s="69">
        <v>6121</v>
      </c>
      <c r="D13" s="62">
        <v>11</v>
      </c>
      <c r="E13" s="63" t="s">
        <v>182</v>
      </c>
      <c r="F13" s="70">
        <v>6000</v>
      </c>
      <c r="G13" s="71">
        <v>13744976</v>
      </c>
      <c r="H13" s="71"/>
      <c r="I13" s="65">
        <f t="shared" si="0"/>
        <v>13744976</v>
      </c>
      <c r="J13" s="65">
        <f>N13-668000</f>
        <v>13076976</v>
      </c>
      <c r="K13" s="65">
        <v>13076406.85</v>
      </c>
      <c r="L13" s="65">
        <f>K13/J13*100</f>
        <v>99.99564769408462</v>
      </c>
      <c r="M13" s="65"/>
      <c r="N13" s="65">
        <f t="shared" si="1"/>
        <v>13744976</v>
      </c>
      <c r="O13" s="66" t="s">
        <v>932</v>
      </c>
    </row>
    <row r="14" spans="1:15" ht="15.75" customHeight="1">
      <c r="A14" s="74">
        <v>14900</v>
      </c>
      <c r="B14" s="75">
        <v>6171</v>
      </c>
      <c r="C14" s="69">
        <v>6121</v>
      </c>
      <c r="D14" s="62">
        <v>12</v>
      </c>
      <c r="E14" s="63" t="s">
        <v>182</v>
      </c>
      <c r="F14" s="70">
        <v>0</v>
      </c>
      <c r="G14" s="71">
        <v>8773000</v>
      </c>
      <c r="H14" s="71"/>
      <c r="I14" s="65">
        <f t="shared" si="0"/>
        <v>8773000</v>
      </c>
      <c r="J14" s="65">
        <f t="shared" si="2"/>
        <v>8773000</v>
      </c>
      <c r="K14" s="65">
        <v>8773000</v>
      </c>
      <c r="L14" s="65">
        <f>K14/J14*100</f>
        <v>100</v>
      </c>
      <c r="M14" s="65"/>
      <c r="N14" s="65">
        <f t="shared" si="1"/>
        <v>8773000</v>
      </c>
      <c r="O14" s="76" t="s">
        <v>336</v>
      </c>
    </row>
    <row r="15" spans="1:15" ht="15.75" customHeight="1">
      <c r="A15" s="75">
        <v>14631</v>
      </c>
      <c r="B15" s="75">
        <v>3113</v>
      </c>
      <c r="C15" s="69">
        <v>6121</v>
      </c>
      <c r="D15" s="62">
        <v>13</v>
      </c>
      <c r="E15" s="63" t="s">
        <v>943</v>
      </c>
      <c r="F15" s="64">
        <v>5350</v>
      </c>
      <c r="G15" s="65">
        <v>0</v>
      </c>
      <c r="H15" s="65"/>
      <c r="I15" s="65">
        <f t="shared" si="0"/>
        <v>0</v>
      </c>
      <c r="J15" s="65">
        <f t="shared" si="2"/>
        <v>0</v>
      </c>
      <c r="K15" s="65"/>
      <c r="L15" s="65"/>
      <c r="M15" s="65"/>
      <c r="N15" s="65">
        <f t="shared" si="1"/>
        <v>0</v>
      </c>
      <c r="O15" s="66" t="s">
        <v>932</v>
      </c>
    </row>
    <row r="16" spans="1:15" ht="15.75" customHeight="1">
      <c r="A16" s="69">
        <v>14871</v>
      </c>
      <c r="B16" s="77">
        <v>2221</v>
      </c>
      <c r="C16" s="78">
        <v>6121</v>
      </c>
      <c r="D16" s="62">
        <v>14</v>
      </c>
      <c r="E16" s="63" t="s">
        <v>944</v>
      </c>
      <c r="F16" s="64">
        <v>950</v>
      </c>
      <c r="G16" s="65">
        <v>911000</v>
      </c>
      <c r="H16" s="65"/>
      <c r="I16" s="65">
        <f t="shared" si="0"/>
        <v>911000</v>
      </c>
      <c r="J16" s="65">
        <f t="shared" si="2"/>
        <v>911000</v>
      </c>
      <c r="K16" s="65">
        <f>881184.1+21420</f>
        <v>902604.1</v>
      </c>
      <c r="L16" s="65">
        <f aca="true" t="shared" si="3" ref="L16:L23">K16/J16*100</f>
        <v>99.07838638858397</v>
      </c>
      <c r="M16" s="65"/>
      <c r="N16" s="65">
        <f t="shared" si="1"/>
        <v>911000</v>
      </c>
      <c r="O16" s="66" t="s">
        <v>932</v>
      </c>
    </row>
    <row r="17" spans="1:15" ht="15.75" customHeight="1">
      <c r="A17" s="69">
        <v>14872</v>
      </c>
      <c r="B17" s="69">
        <v>2221</v>
      </c>
      <c r="C17" s="69">
        <v>6121</v>
      </c>
      <c r="D17" s="62">
        <v>15</v>
      </c>
      <c r="E17" s="63" t="s">
        <v>945</v>
      </c>
      <c r="F17" s="64">
        <v>850</v>
      </c>
      <c r="G17" s="65">
        <v>812000</v>
      </c>
      <c r="H17" s="65"/>
      <c r="I17" s="65">
        <f t="shared" si="0"/>
        <v>812000</v>
      </c>
      <c r="J17" s="65">
        <f t="shared" si="2"/>
        <v>812000</v>
      </c>
      <c r="K17" s="65">
        <v>811924.8</v>
      </c>
      <c r="L17" s="65">
        <f t="shared" si="3"/>
        <v>99.99073891625616</v>
      </c>
      <c r="M17" s="65"/>
      <c r="N17" s="65">
        <f t="shared" si="1"/>
        <v>812000</v>
      </c>
      <c r="O17" s="66" t="s">
        <v>932</v>
      </c>
    </row>
    <row r="18" spans="1:22" s="81" customFormat="1" ht="15.75" customHeight="1">
      <c r="A18" s="79">
        <v>14805</v>
      </c>
      <c r="B18" s="79">
        <v>2219</v>
      </c>
      <c r="C18" s="62">
        <v>6121</v>
      </c>
      <c r="D18" s="62">
        <v>16</v>
      </c>
      <c r="E18" s="63" t="s">
        <v>946</v>
      </c>
      <c r="F18" s="64">
        <v>3800</v>
      </c>
      <c r="G18" s="65">
        <v>219442.95</v>
      </c>
      <c r="H18" s="65"/>
      <c r="I18" s="65">
        <f t="shared" si="0"/>
        <v>219442.95</v>
      </c>
      <c r="J18" s="65">
        <f t="shared" si="2"/>
        <v>219442.95</v>
      </c>
      <c r="K18" s="65">
        <v>219083.85</v>
      </c>
      <c r="L18" s="65">
        <f t="shared" si="3"/>
        <v>99.83635837925074</v>
      </c>
      <c r="M18" s="65"/>
      <c r="N18" s="65">
        <f t="shared" si="1"/>
        <v>219442.95</v>
      </c>
      <c r="O18" s="66" t="s">
        <v>932</v>
      </c>
      <c r="P18" s="67"/>
      <c r="Q18" s="67"/>
      <c r="R18" s="67"/>
      <c r="S18" s="67"/>
      <c r="T18" s="67"/>
      <c r="U18" s="67"/>
      <c r="V18" s="80"/>
    </row>
    <row r="19" spans="1:22" s="86" customFormat="1" ht="15.75" customHeight="1">
      <c r="A19" s="79">
        <v>14805</v>
      </c>
      <c r="B19" s="79">
        <v>2219</v>
      </c>
      <c r="C19" s="82">
        <v>6121</v>
      </c>
      <c r="D19" s="62">
        <v>17</v>
      </c>
      <c r="E19" s="63" t="s">
        <v>946</v>
      </c>
      <c r="F19" s="83">
        <v>0</v>
      </c>
      <c r="G19" s="84">
        <v>41639.76</v>
      </c>
      <c r="H19" s="84"/>
      <c r="I19" s="65">
        <f t="shared" si="0"/>
        <v>41639.76</v>
      </c>
      <c r="J19" s="65">
        <f t="shared" si="2"/>
        <v>41639.76</v>
      </c>
      <c r="K19" s="65">
        <v>41639.76</v>
      </c>
      <c r="L19" s="65">
        <f t="shared" si="3"/>
        <v>100</v>
      </c>
      <c r="M19" s="65"/>
      <c r="N19" s="65">
        <f t="shared" si="1"/>
        <v>41639.76</v>
      </c>
      <c r="O19" s="76" t="s">
        <v>337</v>
      </c>
      <c r="P19" s="67"/>
      <c r="Q19" s="67"/>
      <c r="R19" s="67"/>
      <c r="S19" s="67"/>
      <c r="T19" s="67"/>
      <c r="U19" s="67"/>
      <c r="V19" s="85"/>
    </row>
    <row r="20" spans="1:22" s="86" customFormat="1" ht="15.75" customHeight="1">
      <c r="A20" s="79">
        <v>14805</v>
      </c>
      <c r="B20" s="79">
        <v>2219</v>
      </c>
      <c r="C20" s="82">
        <v>6121</v>
      </c>
      <c r="D20" s="62">
        <v>18</v>
      </c>
      <c r="E20" s="63" t="s">
        <v>946</v>
      </c>
      <c r="F20" s="83">
        <v>0</v>
      </c>
      <c r="G20" s="84">
        <v>124917.29</v>
      </c>
      <c r="H20" s="84"/>
      <c r="I20" s="65">
        <f t="shared" si="0"/>
        <v>124917.29</v>
      </c>
      <c r="J20" s="65">
        <f t="shared" si="2"/>
        <v>124917.29</v>
      </c>
      <c r="K20" s="65">
        <v>124917.29</v>
      </c>
      <c r="L20" s="65">
        <f t="shared" si="3"/>
        <v>100</v>
      </c>
      <c r="M20" s="65"/>
      <c r="N20" s="65">
        <f t="shared" si="1"/>
        <v>124917.29</v>
      </c>
      <c r="O20" s="76" t="s">
        <v>338</v>
      </c>
      <c r="P20" s="67"/>
      <c r="Q20" s="67"/>
      <c r="R20" s="67"/>
      <c r="S20" s="67"/>
      <c r="T20" s="67"/>
      <c r="U20" s="67"/>
      <c r="V20" s="85"/>
    </row>
    <row r="21" spans="1:22" s="86" customFormat="1" ht="15.75" customHeight="1">
      <c r="A21" s="75">
        <v>14261</v>
      </c>
      <c r="B21" s="75">
        <v>2219</v>
      </c>
      <c r="C21" s="87">
        <v>6121</v>
      </c>
      <c r="D21" s="62">
        <v>19</v>
      </c>
      <c r="E21" s="88" t="s">
        <v>183</v>
      </c>
      <c r="F21" s="89">
        <v>0</v>
      </c>
      <c r="G21" s="90">
        <v>400000</v>
      </c>
      <c r="H21" s="90"/>
      <c r="I21" s="65">
        <f t="shared" si="0"/>
        <v>400000</v>
      </c>
      <c r="J21" s="65">
        <f t="shared" si="2"/>
        <v>370000</v>
      </c>
      <c r="K21" s="65">
        <v>361706</v>
      </c>
      <c r="L21" s="65">
        <f t="shared" si="3"/>
        <v>97.75837837837838</v>
      </c>
      <c r="M21" s="65">
        <v>30000</v>
      </c>
      <c r="N21" s="65">
        <f t="shared" si="1"/>
        <v>370000</v>
      </c>
      <c r="O21" s="66" t="s">
        <v>932</v>
      </c>
      <c r="P21" s="67"/>
      <c r="Q21" s="67"/>
      <c r="R21" s="67"/>
      <c r="S21" s="67"/>
      <c r="T21" s="67"/>
      <c r="U21" s="67"/>
      <c r="V21" s="85"/>
    </row>
    <row r="22" spans="1:22" s="86" customFormat="1" ht="15.75" customHeight="1">
      <c r="A22" s="75">
        <v>15012</v>
      </c>
      <c r="B22" s="75">
        <v>3421</v>
      </c>
      <c r="C22" s="87">
        <v>6121</v>
      </c>
      <c r="D22" s="62">
        <v>20</v>
      </c>
      <c r="E22" s="88" t="s">
        <v>947</v>
      </c>
      <c r="F22" s="89">
        <v>0</v>
      </c>
      <c r="G22" s="90">
        <v>613500</v>
      </c>
      <c r="H22" s="90"/>
      <c r="I22" s="65">
        <f t="shared" si="0"/>
        <v>613500</v>
      </c>
      <c r="J22" s="65">
        <f t="shared" si="2"/>
        <v>613500</v>
      </c>
      <c r="K22" s="65">
        <v>613374</v>
      </c>
      <c r="L22" s="65">
        <f t="shared" si="3"/>
        <v>99.97946210268948</v>
      </c>
      <c r="M22" s="65"/>
      <c r="N22" s="65">
        <f t="shared" si="1"/>
        <v>613500</v>
      </c>
      <c r="O22" s="66" t="s">
        <v>932</v>
      </c>
      <c r="P22" s="67"/>
      <c r="Q22" s="67"/>
      <c r="R22" s="67"/>
      <c r="S22" s="67"/>
      <c r="T22" s="67"/>
      <c r="U22" s="67"/>
      <c r="V22" s="85"/>
    </row>
    <row r="23" spans="1:22" s="86" customFormat="1" ht="15.75" customHeight="1">
      <c r="A23" s="74">
        <v>14909</v>
      </c>
      <c r="B23" s="79">
        <v>2219</v>
      </c>
      <c r="C23" s="82">
        <v>6121</v>
      </c>
      <c r="D23" s="62">
        <v>21</v>
      </c>
      <c r="E23" s="91" t="s">
        <v>948</v>
      </c>
      <c r="F23" s="83">
        <v>3800</v>
      </c>
      <c r="G23" s="84">
        <v>3100000</v>
      </c>
      <c r="H23" s="84"/>
      <c r="I23" s="65">
        <f t="shared" si="0"/>
        <v>3100000</v>
      </c>
      <c r="J23" s="65">
        <v>3800000</v>
      </c>
      <c r="K23" s="65">
        <v>3394580.43</v>
      </c>
      <c r="L23" s="65">
        <f t="shared" si="3"/>
        <v>89.33106394736842</v>
      </c>
      <c r="M23" s="65"/>
      <c r="N23" s="65">
        <f t="shared" si="1"/>
        <v>3100000</v>
      </c>
      <c r="O23" s="66" t="s">
        <v>932</v>
      </c>
      <c r="P23" s="67"/>
      <c r="Q23" s="67"/>
      <c r="R23" s="67"/>
      <c r="S23" s="67"/>
      <c r="T23" s="67"/>
      <c r="U23" s="67"/>
      <c r="V23" s="85"/>
    </row>
    <row r="24" spans="1:22" s="86" customFormat="1" ht="15.75" customHeight="1">
      <c r="A24" s="74">
        <v>14390</v>
      </c>
      <c r="B24" s="79">
        <v>6409</v>
      </c>
      <c r="C24" s="82">
        <v>6121</v>
      </c>
      <c r="D24" s="62">
        <v>22</v>
      </c>
      <c r="E24" s="91" t="s">
        <v>949</v>
      </c>
      <c r="F24" s="83">
        <v>0</v>
      </c>
      <c r="G24" s="84">
        <v>3700000</v>
      </c>
      <c r="H24" s="84"/>
      <c r="I24" s="65">
        <f t="shared" si="0"/>
        <v>3700000</v>
      </c>
      <c r="J24" s="65">
        <f>N24-1000000</f>
        <v>2700000</v>
      </c>
      <c r="K24" s="65">
        <v>2181873</v>
      </c>
      <c r="L24" s="65">
        <f>K24/J24*100</f>
        <v>80.81011111111111</v>
      </c>
      <c r="M24" s="65"/>
      <c r="N24" s="65">
        <f t="shared" si="1"/>
        <v>3700000</v>
      </c>
      <c r="O24" s="66" t="s">
        <v>932</v>
      </c>
      <c r="P24" s="67"/>
      <c r="Q24" s="67"/>
      <c r="R24" s="67"/>
      <c r="S24" s="67"/>
      <c r="T24" s="67"/>
      <c r="U24" s="67"/>
      <c r="V24" s="85"/>
    </row>
    <row r="25" spans="1:22" s="86" customFormat="1" ht="15.75" customHeight="1">
      <c r="A25" s="75">
        <v>4194</v>
      </c>
      <c r="B25" s="75">
        <v>2219</v>
      </c>
      <c r="C25" s="87">
        <v>6121</v>
      </c>
      <c r="D25" s="62">
        <v>23</v>
      </c>
      <c r="E25" s="92" t="s">
        <v>184</v>
      </c>
      <c r="F25" s="89">
        <v>85370</v>
      </c>
      <c r="G25" s="90">
        <v>99910500</v>
      </c>
      <c r="H25" s="90">
        <v>2900000</v>
      </c>
      <c r="I25" s="65">
        <f t="shared" si="0"/>
        <v>102810500</v>
      </c>
      <c r="J25" s="65">
        <f>N25+4900000+4904000+12500000+4900000+1634000</f>
        <v>136548500</v>
      </c>
      <c r="K25" s="65">
        <v>136548265.18</v>
      </c>
      <c r="L25" s="65">
        <f>K25/J25*100</f>
        <v>99.99982803179823</v>
      </c>
      <c r="M25" s="65">
        <v>-4900000</v>
      </c>
      <c r="N25" s="65">
        <f t="shared" si="1"/>
        <v>107710500</v>
      </c>
      <c r="O25" s="66" t="s">
        <v>932</v>
      </c>
      <c r="P25" s="67"/>
      <c r="Q25" s="67"/>
      <c r="R25" s="67"/>
      <c r="S25" s="67"/>
      <c r="T25" s="67"/>
      <c r="U25" s="67"/>
      <c r="V25" s="85"/>
    </row>
    <row r="26" spans="1:22" s="86" customFormat="1" ht="15.75" customHeight="1">
      <c r="A26" s="75">
        <v>4194</v>
      </c>
      <c r="B26" s="75">
        <v>2219</v>
      </c>
      <c r="C26" s="87">
        <v>6121</v>
      </c>
      <c r="D26" s="62">
        <v>24</v>
      </c>
      <c r="E26" s="92" t="s">
        <v>184</v>
      </c>
      <c r="F26" s="89">
        <v>0</v>
      </c>
      <c r="G26" s="90"/>
      <c r="H26" s="90"/>
      <c r="I26" s="65"/>
      <c r="J26" s="65">
        <v>22558702.09</v>
      </c>
      <c r="K26" s="65">
        <v>22558702.09</v>
      </c>
      <c r="L26" s="65">
        <f>K26/J26*100</f>
        <v>100</v>
      </c>
      <c r="M26" s="65"/>
      <c r="N26" s="65"/>
      <c r="O26" s="76" t="s">
        <v>348</v>
      </c>
      <c r="P26" s="67"/>
      <c r="Q26" s="67"/>
      <c r="R26" s="67"/>
      <c r="S26" s="67"/>
      <c r="T26" s="67"/>
      <c r="U26" s="67"/>
      <c r="V26" s="85"/>
    </row>
    <row r="27" spans="1:22" s="86" customFormat="1" ht="15.75" customHeight="1">
      <c r="A27" s="75">
        <v>4194</v>
      </c>
      <c r="B27" s="75">
        <v>2219</v>
      </c>
      <c r="C27" s="87">
        <v>6121</v>
      </c>
      <c r="D27" s="62">
        <v>25</v>
      </c>
      <c r="E27" s="92" t="s">
        <v>184</v>
      </c>
      <c r="F27" s="89">
        <v>0</v>
      </c>
      <c r="G27" s="90"/>
      <c r="H27" s="90"/>
      <c r="I27" s="65"/>
      <c r="J27" s="65">
        <v>1311454.49</v>
      </c>
      <c r="K27" s="65">
        <v>1311454.49</v>
      </c>
      <c r="L27" s="65">
        <f>K27/J27*100</f>
        <v>100</v>
      </c>
      <c r="M27" s="65"/>
      <c r="N27" s="65"/>
      <c r="O27" s="76" t="s">
        <v>349</v>
      </c>
      <c r="P27" s="67"/>
      <c r="Q27" s="67"/>
      <c r="R27" s="67"/>
      <c r="S27" s="67"/>
      <c r="T27" s="67"/>
      <c r="U27" s="67"/>
      <c r="V27" s="85"/>
    </row>
    <row r="28" spans="1:22" s="86" customFormat="1" ht="15.75" customHeight="1">
      <c r="A28" s="75">
        <v>14850</v>
      </c>
      <c r="B28" s="75">
        <v>2212</v>
      </c>
      <c r="C28" s="87">
        <v>6121</v>
      </c>
      <c r="D28" s="62">
        <v>26</v>
      </c>
      <c r="E28" s="92" t="s">
        <v>1036</v>
      </c>
      <c r="F28" s="89">
        <v>0</v>
      </c>
      <c r="G28" s="90">
        <v>2000</v>
      </c>
      <c r="H28" s="90"/>
      <c r="I28" s="65">
        <f t="shared" si="0"/>
        <v>2000</v>
      </c>
      <c r="J28" s="65">
        <f>N28</f>
        <v>2000</v>
      </c>
      <c r="K28" s="65">
        <v>450</v>
      </c>
      <c r="L28" s="65">
        <f>K28/J28*100</f>
        <v>22.5</v>
      </c>
      <c r="M28" s="65"/>
      <c r="N28" s="65">
        <f t="shared" si="1"/>
        <v>2000</v>
      </c>
      <c r="O28" s="66" t="s">
        <v>932</v>
      </c>
      <c r="P28" s="67"/>
      <c r="Q28" s="67"/>
      <c r="R28" s="67"/>
      <c r="S28" s="67"/>
      <c r="T28" s="67"/>
      <c r="U28" s="67"/>
      <c r="V28" s="85"/>
    </row>
    <row r="29" spans="1:22" s="86" customFormat="1" ht="15.75" customHeight="1">
      <c r="A29" s="75">
        <v>14763</v>
      </c>
      <c r="B29" s="75">
        <v>3635</v>
      </c>
      <c r="C29" s="87">
        <v>6121</v>
      </c>
      <c r="D29" s="62">
        <v>27</v>
      </c>
      <c r="E29" s="92" t="s">
        <v>1037</v>
      </c>
      <c r="F29" s="89">
        <v>0</v>
      </c>
      <c r="G29" s="90">
        <v>2000</v>
      </c>
      <c r="H29" s="90"/>
      <c r="I29" s="65">
        <f t="shared" si="0"/>
        <v>2000</v>
      </c>
      <c r="J29" s="65">
        <f>N29</f>
        <v>2000</v>
      </c>
      <c r="K29" s="65"/>
      <c r="L29" s="65"/>
      <c r="M29" s="65"/>
      <c r="N29" s="65">
        <f t="shared" si="1"/>
        <v>2000</v>
      </c>
      <c r="O29" s="66" t="s">
        <v>932</v>
      </c>
      <c r="P29" s="67"/>
      <c r="Q29" s="67"/>
      <c r="R29" s="67"/>
      <c r="S29" s="67"/>
      <c r="T29" s="67"/>
      <c r="U29" s="67"/>
      <c r="V29" s="85"/>
    </row>
    <row r="30" spans="1:22" s="86" customFormat="1" ht="15.75" customHeight="1">
      <c r="A30" s="75">
        <v>14687</v>
      </c>
      <c r="B30" s="75">
        <v>2321</v>
      </c>
      <c r="C30" s="87">
        <v>6121</v>
      </c>
      <c r="D30" s="62">
        <v>28</v>
      </c>
      <c r="E30" s="92" t="s">
        <v>1158</v>
      </c>
      <c r="F30" s="89">
        <v>0</v>
      </c>
      <c r="G30" s="90">
        <v>150000</v>
      </c>
      <c r="H30" s="90"/>
      <c r="I30" s="65">
        <f t="shared" si="0"/>
        <v>150000</v>
      </c>
      <c r="J30" s="65">
        <f>N30</f>
        <v>150000</v>
      </c>
      <c r="K30" s="65">
        <v>84820.82</v>
      </c>
      <c r="L30" s="65">
        <f aca="true" t="shared" si="4" ref="L30:L46">K30/J30*100</f>
        <v>56.54721333333333</v>
      </c>
      <c r="M30" s="65"/>
      <c r="N30" s="65">
        <f t="shared" si="1"/>
        <v>150000</v>
      </c>
      <c r="O30" s="66" t="s">
        <v>932</v>
      </c>
      <c r="P30" s="67"/>
      <c r="Q30" s="67"/>
      <c r="R30" s="67"/>
      <c r="S30" s="67"/>
      <c r="T30" s="67"/>
      <c r="U30" s="67"/>
      <c r="V30" s="85"/>
    </row>
    <row r="31" spans="1:22" s="86" customFormat="1" ht="15.75" customHeight="1">
      <c r="A31" s="75">
        <v>15018</v>
      </c>
      <c r="B31" s="75">
        <v>3421</v>
      </c>
      <c r="C31" s="87">
        <v>6121</v>
      </c>
      <c r="D31" s="62">
        <v>29</v>
      </c>
      <c r="E31" s="92" t="s">
        <v>1159</v>
      </c>
      <c r="F31" s="89">
        <v>0</v>
      </c>
      <c r="G31" s="90">
        <v>533000</v>
      </c>
      <c r="H31" s="90"/>
      <c r="I31" s="65">
        <f t="shared" si="0"/>
        <v>533000</v>
      </c>
      <c r="J31" s="65">
        <f>N31</f>
        <v>533000</v>
      </c>
      <c r="K31" s="65">
        <v>532574</v>
      </c>
      <c r="L31" s="65">
        <f t="shared" si="4"/>
        <v>99.92007504690432</v>
      </c>
      <c r="M31" s="65"/>
      <c r="N31" s="65">
        <f t="shared" si="1"/>
        <v>533000</v>
      </c>
      <c r="O31" s="66" t="s">
        <v>932</v>
      </c>
      <c r="P31" s="67"/>
      <c r="Q31" s="67"/>
      <c r="R31" s="67"/>
      <c r="S31" s="67"/>
      <c r="T31" s="67"/>
      <c r="U31" s="67"/>
      <c r="V31" s="85"/>
    </row>
    <row r="32" spans="1:22" s="86" customFormat="1" ht="15.75" customHeight="1">
      <c r="A32" s="75">
        <v>14953</v>
      </c>
      <c r="B32" s="75">
        <v>4359</v>
      </c>
      <c r="C32" s="87">
        <v>6121</v>
      </c>
      <c r="D32" s="62">
        <v>30</v>
      </c>
      <c r="E32" s="92" t="s">
        <v>1160</v>
      </c>
      <c r="F32" s="89">
        <v>0</v>
      </c>
      <c r="G32" s="90">
        <v>281000</v>
      </c>
      <c r="H32" s="90"/>
      <c r="I32" s="65">
        <f t="shared" si="0"/>
        <v>281000</v>
      </c>
      <c r="J32" s="65">
        <f>N32</f>
        <v>281000</v>
      </c>
      <c r="K32" s="65">
        <v>280586.09</v>
      </c>
      <c r="L32" s="65">
        <f t="shared" si="4"/>
        <v>99.85270106761567</v>
      </c>
      <c r="M32" s="65"/>
      <c r="N32" s="65">
        <f t="shared" si="1"/>
        <v>281000</v>
      </c>
      <c r="O32" s="66" t="s">
        <v>1161</v>
      </c>
      <c r="P32" s="67"/>
      <c r="Q32" s="67"/>
      <c r="R32" s="67"/>
      <c r="S32" s="67"/>
      <c r="T32" s="67"/>
      <c r="U32" s="67"/>
      <c r="V32" s="85"/>
    </row>
    <row r="33" spans="1:22" s="86" customFormat="1" ht="15.75" customHeight="1">
      <c r="A33" s="75">
        <v>14939</v>
      </c>
      <c r="B33" s="75">
        <v>2212</v>
      </c>
      <c r="C33" s="87">
        <v>6121</v>
      </c>
      <c r="D33" s="62">
        <v>31</v>
      </c>
      <c r="E33" s="92" t="s">
        <v>666</v>
      </c>
      <c r="F33" s="89">
        <v>0</v>
      </c>
      <c r="G33" s="90">
        <v>3800000</v>
      </c>
      <c r="H33" s="90"/>
      <c r="I33" s="65">
        <f t="shared" si="0"/>
        <v>3800000</v>
      </c>
      <c r="J33" s="65">
        <f>N33+1200000-2000000</f>
        <v>900000</v>
      </c>
      <c r="K33" s="65">
        <v>900000</v>
      </c>
      <c r="L33" s="65">
        <f t="shared" si="4"/>
        <v>100</v>
      </c>
      <c r="M33" s="65">
        <v>2100000</v>
      </c>
      <c r="N33" s="65">
        <f t="shared" si="1"/>
        <v>1700000</v>
      </c>
      <c r="O33" s="66" t="s">
        <v>932</v>
      </c>
      <c r="P33" s="67"/>
      <c r="Q33" s="67"/>
      <c r="R33" s="67"/>
      <c r="S33" s="67"/>
      <c r="T33" s="67"/>
      <c r="U33" s="67"/>
      <c r="V33" s="85"/>
    </row>
    <row r="34" spans="1:22" s="86" customFormat="1" ht="15.75" customHeight="1">
      <c r="A34" s="75">
        <v>14939</v>
      </c>
      <c r="B34" s="75">
        <v>2212</v>
      </c>
      <c r="C34" s="87">
        <v>6121</v>
      </c>
      <c r="D34" s="62">
        <v>32</v>
      </c>
      <c r="E34" s="92" t="s">
        <v>666</v>
      </c>
      <c r="F34" s="89">
        <v>0</v>
      </c>
      <c r="G34" s="90"/>
      <c r="H34" s="90"/>
      <c r="I34" s="65"/>
      <c r="J34" s="65">
        <v>2000000</v>
      </c>
      <c r="K34" s="65">
        <v>2000000</v>
      </c>
      <c r="L34" s="65">
        <f t="shared" si="4"/>
        <v>100</v>
      </c>
      <c r="M34" s="65"/>
      <c r="N34" s="65"/>
      <c r="O34" s="76" t="s">
        <v>67</v>
      </c>
      <c r="P34" s="67"/>
      <c r="Q34" s="67"/>
      <c r="R34" s="67"/>
      <c r="S34" s="67"/>
      <c r="T34" s="67"/>
      <c r="U34" s="67"/>
      <c r="V34" s="85"/>
    </row>
    <row r="35" spans="1:22" s="86" customFormat="1" ht="15.75" customHeight="1">
      <c r="A35" s="75">
        <v>5036</v>
      </c>
      <c r="B35" s="75">
        <v>3330</v>
      </c>
      <c r="C35" s="87">
        <v>6121</v>
      </c>
      <c r="D35" s="62">
        <v>33</v>
      </c>
      <c r="E35" s="92" t="s">
        <v>667</v>
      </c>
      <c r="F35" s="89">
        <v>0</v>
      </c>
      <c r="G35" s="90">
        <v>540000</v>
      </c>
      <c r="H35" s="90"/>
      <c r="I35" s="65">
        <f aca="true" t="shared" si="5" ref="I35:I62">G35+H35</f>
        <v>540000</v>
      </c>
      <c r="J35" s="65">
        <f>N35</f>
        <v>540000</v>
      </c>
      <c r="K35" s="65">
        <v>540000</v>
      </c>
      <c r="L35" s="65">
        <f t="shared" si="4"/>
        <v>100</v>
      </c>
      <c r="M35" s="65"/>
      <c r="N35" s="65">
        <f aca="true" t="shared" si="6" ref="N35:N62">I35-M35</f>
        <v>540000</v>
      </c>
      <c r="O35" s="76" t="s">
        <v>339</v>
      </c>
      <c r="P35" s="67"/>
      <c r="Q35" s="67"/>
      <c r="R35" s="67"/>
      <c r="S35" s="67"/>
      <c r="T35" s="67"/>
      <c r="U35" s="67"/>
      <c r="V35" s="85"/>
    </row>
    <row r="36" spans="1:22" s="86" customFormat="1" ht="15.75" customHeight="1">
      <c r="A36" s="75">
        <v>14532</v>
      </c>
      <c r="B36" s="75">
        <v>2219</v>
      </c>
      <c r="C36" s="87">
        <v>6121</v>
      </c>
      <c r="D36" s="62">
        <v>34</v>
      </c>
      <c r="E36" s="92" t="s">
        <v>668</v>
      </c>
      <c r="F36" s="89">
        <v>0</v>
      </c>
      <c r="G36" s="90">
        <v>2000</v>
      </c>
      <c r="H36" s="90"/>
      <c r="I36" s="65">
        <f t="shared" si="5"/>
        <v>2000</v>
      </c>
      <c r="J36" s="65">
        <f>N36</f>
        <v>2000</v>
      </c>
      <c r="K36" s="65">
        <f>132+169</f>
        <v>301</v>
      </c>
      <c r="L36" s="65">
        <f t="shared" si="4"/>
        <v>15.049999999999999</v>
      </c>
      <c r="M36" s="65"/>
      <c r="N36" s="65">
        <f t="shared" si="6"/>
        <v>2000</v>
      </c>
      <c r="O36" s="66" t="s">
        <v>932</v>
      </c>
      <c r="P36" s="67"/>
      <c r="Q36" s="67"/>
      <c r="R36" s="67"/>
      <c r="S36" s="67"/>
      <c r="T36" s="67"/>
      <c r="U36" s="67"/>
      <c r="V36" s="85"/>
    </row>
    <row r="37" spans="1:22" s="86" customFormat="1" ht="15.75" customHeight="1">
      <c r="A37" s="75">
        <v>14854</v>
      </c>
      <c r="B37" s="75">
        <v>2212</v>
      </c>
      <c r="C37" s="87">
        <v>6121</v>
      </c>
      <c r="D37" s="62">
        <v>35</v>
      </c>
      <c r="E37" s="92" t="s">
        <v>669</v>
      </c>
      <c r="F37" s="89">
        <v>0</v>
      </c>
      <c r="G37" s="90">
        <v>5002000</v>
      </c>
      <c r="H37" s="90"/>
      <c r="I37" s="65">
        <f t="shared" si="5"/>
        <v>5002000</v>
      </c>
      <c r="J37" s="65">
        <f>N37</f>
        <v>5002000</v>
      </c>
      <c r="K37" s="65">
        <v>4998675.4</v>
      </c>
      <c r="L37" s="65">
        <f t="shared" si="4"/>
        <v>99.93353458616554</v>
      </c>
      <c r="M37" s="65"/>
      <c r="N37" s="65">
        <f t="shared" si="6"/>
        <v>5002000</v>
      </c>
      <c r="O37" s="66" t="s">
        <v>932</v>
      </c>
      <c r="P37" s="67"/>
      <c r="Q37" s="67"/>
      <c r="R37" s="67"/>
      <c r="S37" s="67"/>
      <c r="T37" s="67"/>
      <c r="U37" s="67"/>
      <c r="V37" s="85"/>
    </row>
    <row r="38" spans="1:22" s="86" customFormat="1" ht="15.75" customHeight="1">
      <c r="A38" s="75">
        <v>15017</v>
      </c>
      <c r="B38" s="75">
        <v>3421</v>
      </c>
      <c r="C38" s="87">
        <v>6121</v>
      </c>
      <c r="D38" s="62">
        <v>36</v>
      </c>
      <c r="E38" s="63" t="s">
        <v>670</v>
      </c>
      <c r="F38" s="89">
        <v>0</v>
      </c>
      <c r="G38" s="90">
        <v>752500</v>
      </c>
      <c r="H38" s="90"/>
      <c r="I38" s="84">
        <f t="shared" si="5"/>
        <v>752500</v>
      </c>
      <c r="J38" s="65">
        <f>N38</f>
        <v>752500</v>
      </c>
      <c r="K38" s="84">
        <v>752044</v>
      </c>
      <c r="L38" s="65">
        <f t="shared" si="4"/>
        <v>99.93940199335547</v>
      </c>
      <c r="M38" s="84"/>
      <c r="N38" s="65">
        <f t="shared" si="6"/>
        <v>752500</v>
      </c>
      <c r="O38" s="88" t="s">
        <v>932</v>
      </c>
      <c r="P38" s="67"/>
      <c r="Q38" s="67"/>
      <c r="R38" s="67"/>
      <c r="S38" s="67"/>
      <c r="T38" s="67"/>
      <c r="U38" s="67"/>
      <c r="V38" s="85"/>
    </row>
    <row r="39" spans="1:15" s="81" customFormat="1" ht="15.75" customHeight="1">
      <c r="A39" s="69">
        <v>14315</v>
      </c>
      <c r="B39" s="69">
        <v>2219</v>
      </c>
      <c r="C39" s="69">
        <v>6121</v>
      </c>
      <c r="D39" s="62">
        <v>37</v>
      </c>
      <c r="E39" s="63" t="s">
        <v>671</v>
      </c>
      <c r="F39" s="70">
        <v>0</v>
      </c>
      <c r="G39" s="71">
        <v>1900000</v>
      </c>
      <c r="H39" s="71">
        <v>120000</v>
      </c>
      <c r="I39" s="65">
        <f t="shared" si="5"/>
        <v>2020000</v>
      </c>
      <c r="J39" s="65">
        <f>1550000+37000</f>
        <v>1587000</v>
      </c>
      <c r="K39" s="65">
        <v>1568500</v>
      </c>
      <c r="L39" s="65">
        <f t="shared" si="4"/>
        <v>98.83427851291745</v>
      </c>
      <c r="M39" s="65">
        <v>600000</v>
      </c>
      <c r="N39" s="65">
        <f t="shared" si="6"/>
        <v>1420000</v>
      </c>
      <c r="O39" s="66" t="s">
        <v>932</v>
      </c>
    </row>
    <row r="40" spans="1:15" s="81" customFormat="1" ht="15.75" customHeight="1">
      <c r="A40" s="69">
        <v>14863</v>
      </c>
      <c r="B40" s="69">
        <v>2219</v>
      </c>
      <c r="C40" s="69">
        <v>6121</v>
      </c>
      <c r="D40" s="62">
        <v>38</v>
      </c>
      <c r="E40" s="63" t="s">
        <v>672</v>
      </c>
      <c r="F40" s="70">
        <v>0</v>
      </c>
      <c r="G40" s="71">
        <v>2400000</v>
      </c>
      <c r="H40" s="71">
        <v>150000</v>
      </c>
      <c r="I40" s="65">
        <f t="shared" si="5"/>
        <v>2550000</v>
      </c>
      <c r="J40" s="65">
        <f>N40+40000+18000</f>
        <v>1608000</v>
      </c>
      <c r="K40" s="65">
        <v>1607039</v>
      </c>
      <c r="L40" s="65">
        <f t="shared" si="4"/>
        <v>99.94023631840795</v>
      </c>
      <c r="M40" s="65">
        <v>1000000</v>
      </c>
      <c r="N40" s="65">
        <f t="shared" si="6"/>
        <v>1550000</v>
      </c>
      <c r="O40" s="66" t="s">
        <v>932</v>
      </c>
    </row>
    <row r="41" spans="1:22" s="81" customFormat="1" ht="15.75" customHeight="1">
      <c r="A41" s="69">
        <v>11045</v>
      </c>
      <c r="B41" s="69">
        <v>2212</v>
      </c>
      <c r="C41" s="77">
        <v>6121</v>
      </c>
      <c r="D41" s="62">
        <v>39</v>
      </c>
      <c r="E41" s="63" t="s">
        <v>673</v>
      </c>
      <c r="F41" s="70">
        <v>0</v>
      </c>
      <c r="G41" s="71">
        <v>5002000</v>
      </c>
      <c r="H41" s="71"/>
      <c r="I41" s="65">
        <f t="shared" si="5"/>
        <v>5002000</v>
      </c>
      <c r="J41" s="65">
        <f>N41+1000000</f>
        <v>6002000</v>
      </c>
      <c r="K41" s="65">
        <v>6002000</v>
      </c>
      <c r="L41" s="65">
        <f t="shared" si="4"/>
        <v>100</v>
      </c>
      <c r="M41" s="65"/>
      <c r="N41" s="65">
        <f t="shared" si="6"/>
        <v>5002000</v>
      </c>
      <c r="O41" s="66" t="s">
        <v>932</v>
      </c>
      <c r="P41" s="94"/>
      <c r="Q41" s="94"/>
      <c r="R41" s="94"/>
      <c r="S41" s="94"/>
      <c r="T41" s="94"/>
      <c r="U41" s="94"/>
      <c r="V41" s="80"/>
    </row>
    <row r="42" spans="1:15" s="81" customFormat="1" ht="15.75" customHeight="1">
      <c r="A42" s="69">
        <v>10863</v>
      </c>
      <c r="B42" s="69">
        <v>2219</v>
      </c>
      <c r="C42" s="69">
        <v>6121</v>
      </c>
      <c r="D42" s="62">
        <v>40</v>
      </c>
      <c r="E42" s="63" t="s">
        <v>674</v>
      </c>
      <c r="F42" s="70">
        <v>0</v>
      </c>
      <c r="G42" s="71">
        <v>99000</v>
      </c>
      <c r="H42" s="71"/>
      <c r="I42" s="65">
        <f t="shared" si="5"/>
        <v>99000</v>
      </c>
      <c r="J42" s="65">
        <f>N42</f>
        <v>99000</v>
      </c>
      <c r="K42" s="65">
        <v>98139</v>
      </c>
      <c r="L42" s="65">
        <f t="shared" si="4"/>
        <v>99.13030303030304</v>
      </c>
      <c r="M42" s="65"/>
      <c r="N42" s="65">
        <f t="shared" si="6"/>
        <v>99000</v>
      </c>
      <c r="O42" s="66" t="s">
        <v>932</v>
      </c>
    </row>
    <row r="43" spans="1:15" s="94" customFormat="1" ht="15.75" customHeight="1">
      <c r="A43" s="69">
        <v>14852</v>
      </c>
      <c r="B43" s="69">
        <v>2212</v>
      </c>
      <c r="C43" s="69">
        <v>6121</v>
      </c>
      <c r="D43" s="62">
        <v>41</v>
      </c>
      <c r="E43" s="63" t="s">
        <v>675</v>
      </c>
      <c r="F43" s="70">
        <v>0</v>
      </c>
      <c r="G43" s="71">
        <v>5202000</v>
      </c>
      <c r="H43" s="71">
        <v>-3280000</v>
      </c>
      <c r="I43" s="65">
        <f t="shared" si="5"/>
        <v>1922000</v>
      </c>
      <c r="J43" s="65">
        <f>N43-860000</f>
        <v>1062000</v>
      </c>
      <c r="K43" s="65">
        <v>249336.02</v>
      </c>
      <c r="L43" s="65">
        <f t="shared" si="4"/>
        <v>23.477967984934086</v>
      </c>
      <c r="M43" s="65"/>
      <c r="N43" s="65">
        <f t="shared" si="6"/>
        <v>1922000</v>
      </c>
      <c r="O43" s="66" t="s">
        <v>932</v>
      </c>
    </row>
    <row r="44" spans="1:15" s="81" customFormat="1" ht="15.75" customHeight="1">
      <c r="A44" s="69">
        <v>15013</v>
      </c>
      <c r="B44" s="69">
        <v>3421</v>
      </c>
      <c r="C44" s="69">
        <v>6121</v>
      </c>
      <c r="D44" s="62">
        <v>42</v>
      </c>
      <c r="E44" s="63" t="s">
        <v>676</v>
      </c>
      <c r="F44" s="70">
        <v>0</v>
      </c>
      <c r="G44" s="71">
        <v>389500</v>
      </c>
      <c r="H44" s="71"/>
      <c r="I44" s="65">
        <f t="shared" si="5"/>
        <v>389500</v>
      </c>
      <c r="J44" s="65">
        <f>N44</f>
        <v>389500</v>
      </c>
      <c r="K44" s="65">
        <v>362632.74</v>
      </c>
      <c r="L44" s="65">
        <f t="shared" si="4"/>
        <v>93.10211553273427</v>
      </c>
      <c r="M44" s="65"/>
      <c r="N44" s="65">
        <f t="shared" si="6"/>
        <v>389500</v>
      </c>
      <c r="O44" s="66" t="s">
        <v>932</v>
      </c>
    </row>
    <row r="45" spans="1:15" s="81" customFormat="1" ht="15.75" customHeight="1">
      <c r="A45" s="69">
        <v>14941</v>
      </c>
      <c r="B45" s="69">
        <v>3111</v>
      </c>
      <c r="C45" s="69">
        <v>6121</v>
      </c>
      <c r="D45" s="62">
        <v>43</v>
      </c>
      <c r="E45" s="63" t="s">
        <v>677</v>
      </c>
      <c r="F45" s="70">
        <v>0</v>
      </c>
      <c r="G45" s="71">
        <v>1500000</v>
      </c>
      <c r="H45" s="71"/>
      <c r="I45" s="65">
        <f t="shared" si="5"/>
        <v>1500000</v>
      </c>
      <c r="J45" s="65">
        <f>N45+350000</f>
        <v>1850000</v>
      </c>
      <c r="K45" s="65">
        <v>1768250.8</v>
      </c>
      <c r="L45" s="65">
        <f t="shared" si="4"/>
        <v>95.58112432432434</v>
      </c>
      <c r="M45" s="65"/>
      <c r="N45" s="65">
        <f t="shared" si="6"/>
        <v>1500000</v>
      </c>
      <c r="O45" s="66" t="s">
        <v>932</v>
      </c>
    </row>
    <row r="46" spans="1:21" s="95" customFormat="1" ht="15.75" customHeight="1">
      <c r="A46" s="69">
        <v>14841</v>
      </c>
      <c r="B46" s="69">
        <v>3111</v>
      </c>
      <c r="C46" s="69">
        <v>6121</v>
      </c>
      <c r="D46" s="62">
        <v>44</v>
      </c>
      <c r="E46" s="63" t="s">
        <v>678</v>
      </c>
      <c r="F46" s="64">
        <v>6500</v>
      </c>
      <c r="G46" s="65">
        <v>7197000</v>
      </c>
      <c r="H46" s="65"/>
      <c r="I46" s="65">
        <f t="shared" si="5"/>
        <v>7197000</v>
      </c>
      <c r="J46" s="65">
        <f>N46-170000+20000</f>
        <v>7047000</v>
      </c>
      <c r="K46" s="65">
        <v>7005696.3</v>
      </c>
      <c r="L46" s="65">
        <f t="shared" si="4"/>
        <v>99.41388250319284</v>
      </c>
      <c r="M46" s="65"/>
      <c r="N46" s="65">
        <f t="shared" si="6"/>
        <v>7197000</v>
      </c>
      <c r="O46" s="66" t="s">
        <v>932</v>
      </c>
      <c r="P46" s="81"/>
      <c r="Q46" s="81"/>
      <c r="R46" s="81"/>
      <c r="S46" s="81"/>
      <c r="T46" s="81"/>
      <c r="U46" s="81"/>
    </row>
    <row r="47" spans="1:21" s="95" customFormat="1" ht="15.75" customHeight="1">
      <c r="A47" s="69">
        <v>15022</v>
      </c>
      <c r="B47" s="69">
        <v>3111</v>
      </c>
      <c r="C47" s="69">
        <v>6121</v>
      </c>
      <c r="D47" s="62">
        <v>45</v>
      </c>
      <c r="E47" s="63" t="s">
        <v>679</v>
      </c>
      <c r="F47" s="64">
        <v>0</v>
      </c>
      <c r="G47" s="65">
        <v>3350000</v>
      </c>
      <c r="H47" s="65"/>
      <c r="I47" s="65">
        <f t="shared" si="5"/>
        <v>3350000</v>
      </c>
      <c r="J47" s="65">
        <f>N47</f>
        <v>3350000</v>
      </c>
      <c r="K47" s="65">
        <v>3348543.7</v>
      </c>
      <c r="L47" s="65">
        <f>K47/J47*100</f>
        <v>99.95652835820896</v>
      </c>
      <c r="M47" s="65"/>
      <c r="N47" s="65">
        <f t="shared" si="6"/>
        <v>3350000</v>
      </c>
      <c r="O47" s="66" t="s">
        <v>932</v>
      </c>
      <c r="P47" s="81"/>
      <c r="Q47" s="81"/>
      <c r="R47" s="81"/>
      <c r="S47" s="81"/>
      <c r="T47" s="81"/>
      <c r="U47" s="81"/>
    </row>
    <row r="48" spans="1:21" s="95" customFormat="1" ht="15.75" customHeight="1">
      <c r="A48" s="69">
        <v>15019</v>
      </c>
      <c r="B48" s="69">
        <v>3421</v>
      </c>
      <c r="C48" s="69">
        <v>6121</v>
      </c>
      <c r="D48" s="62">
        <v>46</v>
      </c>
      <c r="E48" s="63" t="s">
        <v>680</v>
      </c>
      <c r="F48" s="64">
        <v>0</v>
      </c>
      <c r="G48" s="65">
        <v>951500</v>
      </c>
      <c r="H48" s="65"/>
      <c r="I48" s="65">
        <f t="shared" si="5"/>
        <v>951500</v>
      </c>
      <c r="J48" s="65">
        <f>N48</f>
        <v>951500</v>
      </c>
      <c r="K48" s="65">
        <v>951240</v>
      </c>
      <c r="L48" s="65">
        <f>K48/J48*100</f>
        <v>99.97267472411981</v>
      </c>
      <c r="M48" s="65"/>
      <c r="N48" s="65">
        <f t="shared" si="6"/>
        <v>951500</v>
      </c>
      <c r="O48" s="66" t="s">
        <v>932</v>
      </c>
      <c r="P48" s="81"/>
      <c r="Q48" s="81"/>
      <c r="R48" s="81"/>
      <c r="S48" s="81"/>
      <c r="T48" s="81"/>
      <c r="U48" s="81"/>
    </row>
    <row r="49" spans="1:15" s="81" customFormat="1" ht="15.75" customHeight="1">
      <c r="A49" s="69">
        <v>14203</v>
      </c>
      <c r="B49" s="69">
        <v>2212</v>
      </c>
      <c r="C49" s="69">
        <v>6121</v>
      </c>
      <c r="D49" s="62">
        <v>47</v>
      </c>
      <c r="E49" s="63" t="s">
        <v>681</v>
      </c>
      <c r="F49" s="70">
        <v>0</v>
      </c>
      <c r="G49" s="71">
        <v>5002000</v>
      </c>
      <c r="H49" s="71"/>
      <c r="I49" s="65">
        <f t="shared" si="5"/>
        <v>5002000</v>
      </c>
      <c r="J49" s="65">
        <f>N49-37000</f>
        <v>4965000</v>
      </c>
      <c r="K49" s="65">
        <v>4954485.35</v>
      </c>
      <c r="L49" s="65">
        <f>K49/J49*100</f>
        <v>99.78822457200403</v>
      </c>
      <c r="M49" s="65"/>
      <c r="N49" s="65">
        <f t="shared" si="6"/>
        <v>5002000</v>
      </c>
      <c r="O49" s="66" t="s">
        <v>932</v>
      </c>
    </row>
    <row r="50" spans="1:21" s="95" customFormat="1" ht="15.75" customHeight="1">
      <c r="A50" s="69">
        <v>14340</v>
      </c>
      <c r="B50" s="69">
        <v>2212</v>
      </c>
      <c r="C50" s="69">
        <v>6121</v>
      </c>
      <c r="D50" s="62">
        <v>48</v>
      </c>
      <c r="E50" s="63" t="s">
        <v>137</v>
      </c>
      <c r="F50" s="64">
        <v>0</v>
      </c>
      <c r="G50" s="65">
        <v>2000</v>
      </c>
      <c r="H50" s="65"/>
      <c r="I50" s="65">
        <f t="shared" si="5"/>
        <v>2000</v>
      </c>
      <c r="J50" s="65">
        <f>N50</f>
        <v>2000</v>
      </c>
      <c r="K50" s="65">
        <v>132</v>
      </c>
      <c r="L50" s="65">
        <f>K50/J50*100</f>
        <v>6.6000000000000005</v>
      </c>
      <c r="M50" s="65"/>
      <c r="N50" s="65">
        <f t="shared" si="6"/>
        <v>2000</v>
      </c>
      <c r="O50" s="66" t="s">
        <v>932</v>
      </c>
      <c r="P50" s="81"/>
      <c r="Q50" s="81"/>
      <c r="R50" s="81"/>
      <c r="S50" s="81"/>
      <c r="T50" s="81"/>
      <c r="U50" s="81"/>
    </row>
    <row r="51" spans="1:21" s="96" customFormat="1" ht="15.75" customHeight="1">
      <c r="A51" s="69">
        <v>14800</v>
      </c>
      <c r="B51" s="69">
        <v>2212</v>
      </c>
      <c r="C51" s="69">
        <v>6121</v>
      </c>
      <c r="D51" s="62">
        <v>49</v>
      </c>
      <c r="E51" s="63" t="s">
        <v>176</v>
      </c>
      <c r="F51" s="64">
        <v>0</v>
      </c>
      <c r="G51" s="65">
        <v>50000</v>
      </c>
      <c r="H51" s="65"/>
      <c r="I51" s="65">
        <f t="shared" si="5"/>
        <v>50000</v>
      </c>
      <c r="J51" s="65">
        <f>N51</f>
        <v>50000</v>
      </c>
      <c r="K51" s="65"/>
      <c r="L51" s="65"/>
      <c r="M51" s="65"/>
      <c r="N51" s="65">
        <f t="shared" si="6"/>
        <v>50000</v>
      </c>
      <c r="O51" s="66" t="s">
        <v>932</v>
      </c>
      <c r="P51" s="67"/>
      <c r="Q51" s="67"/>
      <c r="R51" s="67"/>
      <c r="S51" s="67"/>
      <c r="T51" s="67"/>
      <c r="U51" s="67"/>
    </row>
    <row r="52" spans="1:21" s="104" customFormat="1" ht="15.75" customHeight="1">
      <c r="A52" s="97">
        <v>14598</v>
      </c>
      <c r="B52" s="97">
        <v>2212</v>
      </c>
      <c r="C52" s="69">
        <v>6121</v>
      </c>
      <c r="D52" s="62">
        <v>50</v>
      </c>
      <c r="E52" s="66" t="s">
        <v>139</v>
      </c>
      <c r="F52" s="98">
        <v>0</v>
      </c>
      <c r="G52" s="99">
        <v>3100000</v>
      </c>
      <c r="H52" s="100"/>
      <c r="I52" s="65">
        <f t="shared" si="5"/>
        <v>3100000</v>
      </c>
      <c r="J52" s="65">
        <f>N52</f>
        <v>300000</v>
      </c>
      <c r="K52" s="100">
        <v>297859</v>
      </c>
      <c r="L52" s="65">
        <f>K52/J52*100</f>
        <v>99.28633333333333</v>
      </c>
      <c r="M52" s="65">
        <v>2800000</v>
      </c>
      <c r="N52" s="65">
        <f t="shared" si="6"/>
        <v>300000</v>
      </c>
      <c r="O52" s="101" t="s">
        <v>932</v>
      </c>
      <c r="P52" s="102"/>
      <c r="Q52" s="103"/>
      <c r="R52" s="103"/>
      <c r="S52" s="103"/>
      <c r="T52" s="103"/>
      <c r="U52" s="103"/>
    </row>
    <row r="53" spans="1:15" ht="23.25" customHeight="1">
      <c r="A53" s="93">
        <v>11063</v>
      </c>
      <c r="B53" s="93">
        <v>2321</v>
      </c>
      <c r="C53" s="93">
        <v>6121</v>
      </c>
      <c r="D53" s="62">
        <v>51</v>
      </c>
      <c r="E53" s="106" t="s">
        <v>1079</v>
      </c>
      <c r="F53" s="107">
        <v>211600</v>
      </c>
      <c r="G53" s="105">
        <v>198594000</v>
      </c>
      <c r="H53" s="105"/>
      <c r="I53" s="105">
        <f t="shared" si="5"/>
        <v>198594000</v>
      </c>
      <c r="J53" s="65">
        <f>N53-5500</f>
        <v>194588500</v>
      </c>
      <c r="K53" s="105">
        <v>148355142.34</v>
      </c>
      <c r="L53" s="65">
        <f>K53/J53*100</f>
        <v>76.24044706650189</v>
      </c>
      <c r="M53" s="105">
        <v>4000000</v>
      </c>
      <c r="N53" s="65">
        <f t="shared" si="6"/>
        <v>194594000</v>
      </c>
      <c r="O53" s="108" t="s">
        <v>77</v>
      </c>
    </row>
    <row r="54" spans="1:15" ht="15.75" customHeight="1">
      <c r="A54" s="93">
        <v>110631</v>
      </c>
      <c r="B54" s="93">
        <v>2321</v>
      </c>
      <c r="C54" s="93">
        <v>6121</v>
      </c>
      <c r="D54" s="62">
        <v>52</v>
      </c>
      <c r="E54" s="106" t="s">
        <v>1079</v>
      </c>
      <c r="F54" s="107">
        <v>0</v>
      </c>
      <c r="G54" s="105">
        <v>0</v>
      </c>
      <c r="H54" s="105"/>
      <c r="I54" s="65">
        <f t="shared" si="5"/>
        <v>0</v>
      </c>
      <c r="J54" s="65">
        <f>N54</f>
        <v>0</v>
      </c>
      <c r="K54" s="65">
        <v>45441875.95</v>
      </c>
      <c r="L54" s="65">
        <v>0</v>
      </c>
      <c r="M54" s="65"/>
      <c r="N54" s="65">
        <f t="shared" si="6"/>
        <v>0</v>
      </c>
      <c r="O54" s="76" t="s">
        <v>40</v>
      </c>
    </row>
    <row r="55" spans="1:15" ht="15.75" customHeight="1">
      <c r="A55" s="93">
        <v>110632</v>
      </c>
      <c r="B55" s="93">
        <v>2321</v>
      </c>
      <c r="C55" s="93">
        <v>6121</v>
      </c>
      <c r="D55" s="62">
        <v>53</v>
      </c>
      <c r="E55" s="106" t="s">
        <v>1079</v>
      </c>
      <c r="F55" s="107">
        <v>0</v>
      </c>
      <c r="G55" s="105">
        <v>2009269</v>
      </c>
      <c r="H55" s="105"/>
      <c r="I55" s="65">
        <f t="shared" si="5"/>
        <v>2009269</v>
      </c>
      <c r="J55" s="65">
        <f>N55</f>
        <v>2009269</v>
      </c>
      <c r="K55" s="65">
        <v>2524548.66</v>
      </c>
      <c r="L55" s="65">
        <f>K55/J55*100</f>
        <v>125.64513064203948</v>
      </c>
      <c r="M55" s="65"/>
      <c r="N55" s="65">
        <f t="shared" si="6"/>
        <v>2009269</v>
      </c>
      <c r="O55" s="76" t="s">
        <v>41</v>
      </c>
    </row>
    <row r="56" spans="1:15" ht="15.75" customHeight="1">
      <c r="A56" s="93">
        <v>14942</v>
      </c>
      <c r="B56" s="93">
        <v>2221</v>
      </c>
      <c r="C56" s="93">
        <v>6121</v>
      </c>
      <c r="D56" s="62">
        <v>54</v>
      </c>
      <c r="E56" s="106" t="s">
        <v>43</v>
      </c>
      <c r="F56" s="107">
        <v>0</v>
      </c>
      <c r="G56" s="105">
        <v>1500000</v>
      </c>
      <c r="H56" s="105"/>
      <c r="I56" s="65">
        <f t="shared" si="5"/>
        <v>1500000</v>
      </c>
      <c r="J56" s="65">
        <f>N56-1490000</f>
        <v>10000</v>
      </c>
      <c r="K56" s="65"/>
      <c r="L56" s="65"/>
      <c r="M56" s="105"/>
      <c r="N56" s="65">
        <f t="shared" si="6"/>
        <v>1500000</v>
      </c>
      <c r="O56" s="66" t="s">
        <v>932</v>
      </c>
    </row>
    <row r="57" spans="1:15" ht="15.75" customHeight="1">
      <c r="A57" s="93">
        <v>14785</v>
      </c>
      <c r="B57" s="93">
        <v>2219</v>
      </c>
      <c r="C57" s="93">
        <v>6121</v>
      </c>
      <c r="D57" s="62">
        <v>55</v>
      </c>
      <c r="E57" s="106" t="s">
        <v>44</v>
      </c>
      <c r="F57" s="107">
        <v>0</v>
      </c>
      <c r="G57" s="105">
        <v>3500000</v>
      </c>
      <c r="H57" s="105"/>
      <c r="I57" s="65">
        <f t="shared" si="5"/>
        <v>3500000</v>
      </c>
      <c r="J57" s="65">
        <f>N57</f>
        <v>3000000</v>
      </c>
      <c r="K57" s="65">
        <v>2989796.25</v>
      </c>
      <c r="L57" s="65">
        <f aca="true" t="shared" si="7" ref="L57:L62">K57/J57*100</f>
        <v>99.659875</v>
      </c>
      <c r="M57" s="105">
        <v>500000</v>
      </c>
      <c r="N57" s="65">
        <f t="shared" si="6"/>
        <v>3000000</v>
      </c>
      <c r="O57" s="66" t="s">
        <v>932</v>
      </c>
    </row>
    <row r="58" spans="1:15" ht="15.75" customHeight="1">
      <c r="A58" s="93">
        <v>11064</v>
      </c>
      <c r="B58" s="93">
        <v>2212</v>
      </c>
      <c r="C58" s="93">
        <v>6121</v>
      </c>
      <c r="D58" s="62">
        <v>56</v>
      </c>
      <c r="E58" s="106" t="s">
        <v>177</v>
      </c>
      <c r="F58" s="107">
        <v>0</v>
      </c>
      <c r="G58" s="105">
        <v>5002000</v>
      </c>
      <c r="H58" s="105"/>
      <c r="I58" s="65">
        <f t="shared" si="5"/>
        <v>5002000</v>
      </c>
      <c r="J58" s="65">
        <f>N58-1000000</f>
        <v>4002000</v>
      </c>
      <c r="K58" s="65">
        <v>4002000</v>
      </c>
      <c r="L58" s="65">
        <f t="shared" si="7"/>
        <v>100</v>
      </c>
      <c r="M58" s="105"/>
      <c r="N58" s="65">
        <f t="shared" si="6"/>
        <v>5002000</v>
      </c>
      <c r="O58" s="66" t="s">
        <v>932</v>
      </c>
    </row>
    <row r="59" spans="1:15" s="109" customFormat="1" ht="15.75" customHeight="1">
      <c r="A59" s="62">
        <v>14195</v>
      </c>
      <c r="B59" s="62">
        <v>2212</v>
      </c>
      <c r="C59" s="62">
        <v>6121</v>
      </c>
      <c r="D59" s="62">
        <v>57</v>
      </c>
      <c r="E59" s="63" t="s">
        <v>86</v>
      </c>
      <c r="F59" s="64">
        <v>0</v>
      </c>
      <c r="G59" s="65">
        <v>8070000</v>
      </c>
      <c r="H59" s="65"/>
      <c r="I59" s="65">
        <f t="shared" si="5"/>
        <v>8070000</v>
      </c>
      <c r="J59" s="65">
        <f>N59-1634000</f>
        <v>6436000</v>
      </c>
      <c r="K59" s="65">
        <v>4150117.8</v>
      </c>
      <c r="L59" s="65">
        <f t="shared" si="7"/>
        <v>64.48287445618396</v>
      </c>
      <c r="M59" s="105"/>
      <c r="N59" s="65">
        <f t="shared" si="6"/>
        <v>8070000</v>
      </c>
      <c r="O59" s="66" t="s">
        <v>932</v>
      </c>
    </row>
    <row r="60" spans="1:15" s="110" customFormat="1" ht="15.75" customHeight="1">
      <c r="A60" s="62">
        <v>15015</v>
      </c>
      <c r="B60" s="62">
        <v>3421</v>
      </c>
      <c r="C60" s="62">
        <v>6121</v>
      </c>
      <c r="D60" s="62">
        <v>58</v>
      </c>
      <c r="E60" s="63" t="s">
        <v>141</v>
      </c>
      <c r="F60" s="64">
        <v>0</v>
      </c>
      <c r="G60" s="65">
        <v>844000</v>
      </c>
      <c r="H60" s="65"/>
      <c r="I60" s="65">
        <f t="shared" si="5"/>
        <v>844000</v>
      </c>
      <c r="J60" s="65">
        <f>N60</f>
        <v>844000</v>
      </c>
      <c r="K60" s="65">
        <v>786339.6</v>
      </c>
      <c r="L60" s="65">
        <f t="shared" si="7"/>
        <v>93.16819905213269</v>
      </c>
      <c r="M60" s="105"/>
      <c r="N60" s="65">
        <f t="shared" si="6"/>
        <v>844000</v>
      </c>
      <c r="O60" s="66" t="s">
        <v>932</v>
      </c>
    </row>
    <row r="61" spans="1:15" s="110" customFormat="1" ht="15.75" customHeight="1">
      <c r="A61" s="62">
        <v>15050</v>
      </c>
      <c r="B61" s="62">
        <v>2310</v>
      </c>
      <c r="C61" s="62">
        <v>6121</v>
      </c>
      <c r="D61" s="62">
        <v>59</v>
      </c>
      <c r="E61" s="63" t="s">
        <v>142</v>
      </c>
      <c r="F61" s="64">
        <v>0</v>
      </c>
      <c r="G61" s="65">
        <v>1500000</v>
      </c>
      <c r="H61" s="65"/>
      <c r="I61" s="65">
        <f t="shared" si="5"/>
        <v>1500000</v>
      </c>
      <c r="J61" s="65">
        <f>N61</f>
        <v>1500000</v>
      </c>
      <c r="K61" s="65">
        <v>1398669.6</v>
      </c>
      <c r="L61" s="65">
        <f t="shared" si="7"/>
        <v>93.24464</v>
      </c>
      <c r="M61" s="105"/>
      <c r="N61" s="65">
        <f t="shared" si="6"/>
        <v>1500000</v>
      </c>
      <c r="O61" s="66" t="s">
        <v>932</v>
      </c>
    </row>
    <row r="62" spans="1:15" s="110" customFormat="1" ht="15.75" customHeight="1">
      <c r="A62" s="62">
        <v>14880</v>
      </c>
      <c r="B62" s="62">
        <v>6171</v>
      </c>
      <c r="C62" s="62">
        <v>6121</v>
      </c>
      <c r="D62" s="62">
        <v>60</v>
      </c>
      <c r="E62" s="63" t="s">
        <v>143</v>
      </c>
      <c r="F62" s="64">
        <v>0</v>
      </c>
      <c r="G62" s="65">
        <v>3200000</v>
      </c>
      <c r="H62" s="65"/>
      <c r="I62" s="65">
        <f t="shared" si="5"/>
        <v>3200000</v>
      </c>
      <c r="J62" s="65">
        <f>N62-30733</f>
        <v>3169267</v>
      </c>
      <c r="K62" s="65">
        <v>3144921</v>
      </c>
      <c r="L62" s="65">
        <f t="shared" si="7"/>
        <v>99.23180975285453</v>
      </c>
      <c r="M62" s="105"/>
      <c r="N62" s="65">
        <f t="shared" si="6"/>
        <v>3200000</v>
      </c>
      <c r="O62" s="66" t="s">
        <v>932</v>
      </c>
    </row>
    <row r="63" spans="1:15" s="110" customFormat="1" ht="15.75" customHeight="1">
      <c r="A63" s="62">
        <v>15047</v>
      </c>
      <c r="B63" s="62">
        <v>2212</v>
      </c>
      <c r="C63" s="62">
        <v>6121</v>
      </c>
      <c r="D63" s="62">
        <v>61</v>
      </c>
      <c r="E63" s="63" t="s">
        <v>144</v>
      </c>
      <c r="F63" s="64">
        <v>0</v>
      </c>
      <c r="G63" s="65">
        <v>100000</v>
      </c>
      <c r="H63" s="65"/>
      <c r="I63" s="65">
        <f>G63+H63</f>
        <v>100000</v>
      </c>
      <c r="J63" s="65">
        <f>N63</f>
        <v>100000</v>
      </c>
      <c r="K63" s="65"/>
      <c r="L63" s="65"/>
      <c r="M63" s="65"/>
      <c r="N63" s="65">
        <f>I63-M63</f>
        <v>100000</v>
      </c>
      <c r="O63" s="66" t="s">
        <v>932</v>
      </c>
    </row>
    <row r="64" spans="1:21" s="113" customFormat="1" ht="15.75" customHeight="1">
      <c r="A64" s="69">
        <v>14932</v>
      </c>
      <c r="B64" s="69">
        <v>6409</v>
      </c>
      <c r="C64" s="69">
        <v>6121</v>
      </c>
      <c r="D64" s="62">
        <v>62</v>
      </c>
      <c r="E64" s="63" t="s">
        <v>145</v>
      </c>
      <c r="F64" s="70">
        <v>3000</v>
      </c>
      <c r="G64" s="71">
        <v>4134000</v>
      </c>
      <c r="H64" s="71"/>
      <c r="I64" s="65">
        <f>G64+H64</f>
        <v>4134000</v>
      </c>
      <c r="J64" s="65">
        <f>N64</f>
        <v>4134000</v>
      </c>
      <c r="K64" s="65">
        <v>3951821.5</v>
      </c>
      <c r="L64" s="65">
        <f>K64/J64*100</f>
        <v>95.59316642477019</v>
      </c>
      <c r="M64" s="65"/>
      <c r="N64" s="65">
        <f>I64-M64</f>
        <v>4134000</v>
      </c>
      <c r="O64" s="66" t="s">
        <v>932</v>
      </c>
      <c r="P64" s="111"/>
      <c r="Q64" s="112"/>
      <c r="R64" s="111"/>
      <c r="S64" s="112"/>
      <c r="T64" s="111"/>
      <c r="U64" s="111"/>
    </row>
    <row r="65" spans="1:21" s="113" customFormat="1" ht="15.75" customHeight="1">
      <c r="A65" s="69">
        <v>15020</v>
      </c>
      <c r="B65" s="69">
        <v>3421</v>
      </c>
      <c r="C65" s="69">
        <v>6121</v>
      </c>
      <c r="D65" s="62">
        <v>63</v>
      </c>
      <c r="E65" s="63" t="s">
        <v>146</v>
      </c>
      <c r="F65" s="70">
        <v>0</v>
      </c>
      <c r="G65" s="71">
        <v>493000</v>
      </c>
      <c r="H65" s="71"/>
      <c r="I65" s="65">
        <f>G65+H65</f>
        <v>493000</v>
      </c>
      <c r="J65" s="65">
        <f>N65</f>
        <v>493000</v>
      </c>
      <c r="K65" s="65">
        <v>492641</v>
      </c>
      <c r="L65" s="65">
        <f>K65/J65*100</f>
        <v>99.92718052738337</v>
      </c>
      <c r="M65" s="65"/>
      <c r="N65" s="65">
        <f>I65-M65</f>
        <v>493000</v>
      </c>
      <c r="O65" s="66" t="s">
        <v>932</v>
      </c>
      <c r="P65" s="111"/>
      <c r="Q65" s="112"/>
      <c r="R65" s="111"/>
      <c r="S65" s="112"/>
      <c r="T65" s="111"/>
      <c r="U65" s="111"/>
    </row>
    <row r="66" spans="1:21" s="113" customFormat="1" ht="15.75" customHeight="1">
      <c r="A66" s="69">
        <v>15073</v>
      </c>
      <c r="B66" s="69">
        <v>3421</v>
      </c>
      <c r="C66" s="69">
        <v>6121</v>
      </c>
      <c r="D66" s="62">
        <v>64</v>
      </c>
      <c r="E66" s="63" t="s">
        <v>91</v>
      </c>
      <c r="F66" s="70">
        <v>0</v>
      </c>
      <c r="G66" s="71"/>
      <c r="H66" s="71"/>
      <c r="I66" s="65"/>
      <c r="J66" s="65">
        <v>550000</v>
      </c>
      <c r="K66" s="65">
        <v>506571.1</v>
      </c>
      <c r="L66" s="65">
        <f>K66/J66*100</f>
        <v>92.10383636363636</v>
      </c>
      <c r="M66" s="65"/>
      <c r="N66" s="65"/>
      <c r="O66" s="66" t="s">
        <v>932</v>
      </c>
      <c r="P66" s="111"/>
      <c r="Q66" s="112"/>
      <c r="R66" s="111"/>
      <c r="S66" s="112"/>
      <c r="T66" s="111"/>
      <c r="U66" s="111"/>
    </row>
    <row r="67" spans="1:21" s="113" customFormat="1" ht="15.75" customHeight="1">
      <c r="A67" s="69">
        <v>14861</v>
      </c>
      <c r="B67" s="69">
        <v>2219</v>
      </c>
      <c r="C67" s="69">
        <v>6121</v>
      </c>
      <c r="D67" s="62">
        <v>65</v>
      </c>
      <c r="E67" s="63" t="s">
        <v>147</v>
      </c>
      <c r="F67" s="70">
        <v>0</v>
      </c>
      <c r="G67" s="71">
        <v>2100000</v>
      </c>
      <c r="H67" s="71">
        <v>100000</v>
      </c>
      <c r="I67" s="65">
        <f>G67+H67</f>
        <v>2200000</v>
      </c>
      <c r="J67" s="65">
        <f>N67</f>
        <v>2200000</v>
      </c>
      <c r="K67" s="65">
        <v>2178233</v>
      </c>
      <c r="L67" s="65">
        <f>K67/J67*100</f>
        <v>99.01059090909091</v>
      </c>
      <c r="M67" s="65"/>
      <c r="N67" s="65">
        <f>I67-M67</f>
        <v>2200000</v>
      </c>
      <c r="O67" s="66" t="s">
        <v>932</v>
      </c>
      <c r="P67" s="111"/>
      <c r="Q67" s="112"/>
      <c r="R67" s="111"/>
      <c r="S67" s="112"/>
      <c r="T67" s="111"/>
      <c r="U67" s="111"/>
    </row>
    <row r="68" spans="1:21" s="113" customFormat="1" ht="15.75" customHeight="1">
      <c r="A68" s="69">
        <v>14895</v>
      </c>
      <c r="B68" s="69">
        <v>2219</v>
      </c>
      <c r="C68" s="69">
        <v>6121</v>
      </c>
      <c r="D68" s="62">
        <v>66</v>
      </c>
      <c r="E68" s="63" t="s">
        <v>148</v>
      </c>
      <c r="F68" s="70">
        <v>0</v>
      </c>
      <c r="G68" s="71">
        <v>3285000</v>
      </c>
      <c r="H68" s="71"/>
      <c r="I68" s="65">
        <f>G68+H68</f>
        <v>3285000</v>
      </c>
      <c r="J68" s="65">
        <f>N68</f>
        <v>485000</v>
      </c>
      <c r="K68" s="65">
        <v>485000</v>
      </c>
      <c r="L68" s="65">
        <f>K68/J68*100</f>
        <v>100</v>
      </c>
      <c r="M68" s="65">
        <v>2800000</v>
      </c>
      <c r="N68" s="65">
        <f>I68-M68</f>
        <v>485000</v>
      </c>
      <c r="O68" s="66" t="s">
        <v>932</v>
      </c>
      <c r="P68" s="111"/>
      <c r="Q68" s="112"/>
      <c r="R68" s="111"/>
      <c r="S68" s="112"/>
      <c r="T68" s="111"/>
      <c r="U68" s="111"/>
    </row>
    <row r="69" spans="1:21" s="113" customFormat="1" ht="15.75" customHeight="1">
      <c r="A69" s="69">
        <v>15074</v>
      </c>
      <c r="B69" s="69">
        <v>3421</v>
      </c>
      <c r="C69" s="69">
        <v>6121</v>
      </c>
      <c r="D69" s="62">
        <v>67</v>
      </c>
      <c r="E69" s="63" t="s">
        <v>92</v>
      </c>
      <c r="F69" s="70">
        <v>0</v>
      </c>
      <c r="G69" s="71"/>
      <c r="H69" s="71"/>
      <c r="I69" s="65"/>
      <c r="J69" s="65">
        <v>550000</v>
      </c>
      <c r="K69" s="65">
        <v>503858</v>
      </c>
      <c r="L69" s="65">
        <f aca="true" t="shared" si="8" ref="L69:L77">K69/J69*100</f>
        <v>91.61054545454546</v>
      </c>
      <c r="M69" s="65"/>
      <c r="N69" s="65"/>
      <c r="O69" s="66" t="s">
        <v>932</v>
      </c>
      <c r="P69" s="111"/>
      <c r="Q69" s="112"/>
      <c r="R69" s="111"/>
      <c r="S69" s="112"/>
      <c r="T69" s="111"/>
      <c r="U69" s="111"/>
    </row>
    <row r="70" spans="1:21" s="113" customFormat="1" ht="15.75" customHeight="1">
      <c r="A70" s="69">
        <v>14898</v>
      </c>
      <c r="B70" s="69">
        <v>5212</v>
      </c>
      <c r="C70" s="69">
        <v>6121</v>
      </c>
      <c r="D70" s="62">
        <v>68</v>
      </c>
      <c r="E70" s="63" t="s">
        <v>149</v>
      </c>
      <c r="F70" s="70">
        <v>0</v>
      </c>
      <c r="G70" s="71">
        <v>800000</v>
      </c>
      <c r="H70" s="71">
        <v>150000</v>
      </c>
      <c r="I70" s="65">
        <f aca="true" t="shared" si="9" ref="I70:I88">G70+H70</f>
        <v>950000</v>
      </c>
      <c r="J70" s="65">
        <f>N70</f>
        <v>950000</v>
      </c>
      <c r="K70" s="65">
        <v>928479</v>
      </c>
      <c r="L70" s="65">
        <f t="shared" si="8"/>
        <v>97.73463157894737</v>
      </c>
      <c r="M70" s="65"/>
      <c r="N70" s="65">
        <f aca="true" t="shared" si="10" ref="N70:N92">I70-M70</f>
        <v>950000</v>
      </c>
      <c r="O70" s="66" t="s">
        <v>932</v>
      </c>
      <c r="P70" s="111"/>
      <c r="Q70" s="112"/>
      <c r="R70" s="111"/>
      <c r="S70" s="112"/>
      <c r="T70" s="111"/>
      <c r="U70" s="111"/>
    </row>
    <row r="71" spans="1:21" s="113" customFormat="1" ht="15.75" customHeight="1">
      <c r="A71" s="69">
        <v>14867</v>
      </c>
      <c r="B71" s="69">
        <v>2219</v>
      </c>
      <c r="C71" s="69">
        <v>6121</v>
      </c>
      <c r="D71" s="62">
        <v>69</v>
      </c>
      <c r="E71" s="63" t="s">
        <v>150</v>
      </c>
      <c r="F71" s="70">
        <v>0</v>
      </c>
      <c r="G71" s="71">
        <v>540000</v>
      </c>
      <c r="H71" s="71"/>
      <c r="I71" s="65">
        <f t="shared" si="9"/>
        <v>540000</v>
      </c>
      <c r="J71" s="65">
        <f>N71+65000</f>
        <v>605000</v>
      </c>
      <c r="K71" s="65">
        <v>594098</v>
      </c>
      <c r="L71" s="65">
        <f t="shared" si="8"/>
        <v>98.19801652892562</v>
      </c>
      <c r="M71" s="65"/>
      <c r="N71" s="65">
        <f t="shared" si="10"/>
        <v>540000</v>
      </c>
      <c r="O71" s="66" t="s">
        <v>932</v>
      </c>
      <c r="P71" s="111"/>
      <c r="Q71" s="112"/>
      <c r="R71" s="111"/>
      <c r="S71" s="112"/>
      <c r="T71" s="111"/>
      <c r="U71" s="111"/>
    </row>
    <row r="72" spans="1:21" s="116" customFormat="1" ht="15.75" customHeight="1">
      <c r="A72" s="69">
        <v>14458</v>
      </c>
      <c r="B72" s="69">
        <v>2212</v>
      </c>
      <c r="C72" s="73">
        <v>6121</v>
      </c>
      <c r="D72" s="62">
        <v>70</v>
      </c>
      <c r="E72" s="66" t="s">
        <v>151</v>
      </c>
      <c r="F72" s="64">
        <v>0</v>
      </c>
      <c r="G72" s="99">
        <v>2000</v>
      </c>
      <c r="H72" s="65"/>
      <c r="I72" s="65">
        <f t="shared" si="9"/>
        <v>2000</v>
      </c>
      <c r="J72" s="65">
        <f>N72</f>
        <v>2000</v>
      </c>
      <c r="K72" s="65"/>
      <c r="L72" s="65"/>
      <c r="M72" s="65"/>
      <c r="N72" s="65">
        <f t="shared" si="10"/>
        <v>2000</v>
      </c>
      <c r="O72" s="101" t="s">
        <v>932</v>
      </c>
      <c r="P72" s="114"/>
      <c r="Q72" s="115"/>
      <c r="R72" s="115"/>
      <c r="S72" s="115"/>
      <c r="T72" s="115"/>
      <c r="U72" s="115"/>
    </row>
    <row r="73" spans="1:21" s="116" customFormat="1" ht="15.75" customHeight="1">
      <c r="A73" s="69">
        <v>15069</v>
      </c>
      <c r="B73" s="69">
        <v>2219</v>
      </c>
      <c r="C73" s="73">
        <v>6121</v>
      </c>
      <c r="D73" s="62">
        <v>71</v>
      </c>
      <c r="E73" s="66" t="s">
        <v>152</v>
      </c>
      <c r="F73" s="64">
        <v>0</v>
      </c>
      <c r="G73" s="99">
        <v>540000</v>
      </c>
      <c r="H73" s="65"/>
      <c r="I73" s="65">
        <f t="shared" si="9"/>
        <v>540000</v>
      </c>
      <c r="J73" s="65">
        <f>N73+155000</f>
        <v>695000</v>
      </c>
      <c r="K73" s="65">
        <v>683580.8</v>
      </c>
      <c r="L73" s="65">
        <f t="shared" si="8"/>
        <v>98.35694964028777</v>
      </c>
      <c r="M73" s="65"/>
      <c r="N73" s="65">
        <f t="shared" si="10"/>
        <v>540000</v>
      </c>
      <c r="O73" s="101" t="s">
        <v>932</v>
      </c>
      <c r="P73" s="114"/>
      <c r="Q73" s="115"/>
      <c r="R73" s="115"/>
      <c r="S73" s="115"/>
      <c r="T73" s="115"/>
      <c r="U73" s="115"/>
    </row>
    <row r="74" spans="1:21" s="116" customFormat="1" ht="15.75" customHeight="1">
      <c r="A74" s="69">
        <v>14459</v>
      </c>
      <c r="B74" s="69">
        <v>2212</v>
      </c>
      <c r="C74" s="73">
        <v>6121</v>
      </c>
      <c r="D74" s="62">
        <v>72</v>
      </c>
      <c r="E74" s="66" t="s">
        <v>153</v>
      </c>
      <c r="F74" s="64">
        <v>0</v>
      </c>
      <c r="G74" s="99">
        <v>4502000</v>
      </c>
      <c r="H74" s="65"/>
      <c r="I74" s="65">
        <f t="shared" si="9"/>
        <v>4502000</v>
      </c>
      <c r="J74" s="65">
        <f>N74-1000000</f>
        <v>3502000</v>
      </c>
      <c r="K74" s="65">
        <v>3500513.8</v>
      </c>
      <c r="L74" s="65">
        <f t="shared" si="8"/>
        <v>99.95756139348943</v>
      </c>
      <c r="M74" s="65"/>
      <c r="N74" s="65">
        <f t="shared" si="10"/>
        <v>4502000</v>
      </c>
      <c r="O74" s="101" t="s">
        <v>932</v>
      </c>
      <c r="P74" s="114"/>
      <c r="Q74" s="115"/>
      <c r="R74" s="115"/>
      <c r="S74" s="115"/>
      <c r="T74" s="115"/>
      <c r="U74" s="115"/>
    </row>
    <row r="75" spans="1:21" s="116" customFormat="1" ht="15.75" customHeight="1">
      <c r="A75" s="69">
        <v>14460</v>
      </c>
      <c r="B75" s="69">
        <v>2212</v>
      </c>
      <c r="C75" s="73">
        <v>6121</v>
      </c>
      <c r="D75" s="62">
        <v>73</v>
      </c>
      <c r="E75" s="66" t="s">
        <v>610</v>
      </c>
      <c r="F75" s="64">
        <v>0</v>
      </c>
      <c r="G75" s="99">
        <v>2000</v>
      </c>
      <c r="H75" s="65"/>
      <c r="I75" s="65">
        <f t="shared" si="9"/>
        <v>2000</v>
      </c>
      <c r="J75" s="65">
        <f>N75</f>
        <v>2000</v>
      </c>
      <c r="K75" s="65"/>
      <c r="L75" s="65"/>
      <c r="M75" s="65"/>
      <c r="N75" s="65">
        <f t="shared" si="10"/>
        <v>2000</v>
      </c>
      <c r="O75" s="101" t="s">
        <v>932</v>
      </c>
      <c r="P75" s="114"/>
      <c r="Q75" s="115"/>
      <c r="R75" s="115"/>
      <c r="S75" s="115"/>
      <c r="T75" s="115"/>
      <c r="U75" s="115"/>
    </row>
    <row r="76" spans="1:21" s="116" customFormat="1" ht="15.75" customHeight="1">
      <c r="A76" s="69">
        <v>14780</v>
      </c>
      <c r="B76" s="69">
        <v>2219</v>
      </c>
      <c r="C76" s="73">
        <v>6121</v>
      </c>
      <c r="D76" s="62">
        <v>74</v>
      </c>
      <c r="E76" s="66" t="s">
        <v>611</v>
      </c>
      <c r="F76" s="64">
        <v>0</v>
      </c>
      <c r="G76" s="99">
        <v>100000</v>
      </c>
      <c r="H76" s="65"/>
      <c r="I76" s="65">
        <f t="shared" si="9"/>
        <v>100000</v>
      </c>
      <c r="J76" s="65">
        <f>N76</f>
        <v>100000</v>
      </c>
      <c r="K76" s="65"/>
      <c r="L76" s="65"/>
      <c r="M76" s="65"/>
      <c r="N76" s="65">
        <f t="shared" si="10"/>
        <v>100000</v>
      </c>
      <c r="O76" s="101" t="s">
        <v>932</v>
      </c>
      <c r="P76" s="114"/>
      <c r="Q76" s="115"/>
      <c r="R76" s="115"/>
      <c r="S76" s="115"/>
      <c r="T76" s="115"/>
      <c r="U76" s="115"/>
    </row>
    <row r="77" spans="1:21" s="116" customFormat="1" ht="15.75" customHeight="1">
      <c r="A77" s="69">
        <v>14522</v>
      </c>
      <c r="B77" s="69">
        <v>2212</v>
      </c>
      <c r="C77" s="73">
        <v>6121</v>
      </c>
      <c r="D77" s="62">
        <v>75</v>
      </c>
      <c r="E77" s="66" t="s">
        <v>612</v>
      </c>
      <c r="F77" s="64">
        <v>0</v>
      </c>
      <c r="G77" s="99">
        <v>8002000</v>
      </c>
      <c r="H77" s="65"/>
      <c r="I77" s="65">
        <f t="shared" si="9"/>
        <v>8002000</v>
      </c>
      <c r="J77" s="65">
        <f>N77-3000000</f>
        <v>5002000</v>
      </c>
      <c r="K77" s="65">
        <v>4635795.56</v>
      </c>
      <c r="L77" s="65">
        <f t="shared" si="8"/>
        <v>92.67883966413434</v>
      </c>
      <c r="M77" s="65"/>
      <c r="N77" s="65">
        <f t="shared" si="10"/>
        <v>8002000</v>
      </c>
      <c r="O77" s="101" t="s">
        <v>932</v>
      </c>
      <c r="P77" s="114"/>
      <c r="Q77" s="115"/>
      <c r="R77" s="115"/>
      <c r="S77" s="115"/>
      <c r="T77" s="115"/>
      <c r="U77" s="115"/>
    </row>
    <row r="78" spans="1:21" s="113" customFormat="1" ht="15.75" customHeight="1">
      <c r="A78" s="69">
        <v>14799</v>
      </c>
      <c r="B78" s="69">
        <v>2212</v>
      </c>
      <c r="C78" s="69">
        <v>6121</v>
      </c>
      <c r="D78" s="62">
        <v>76</v>
      </c>
      <c r="E78" s="63" t="s">
        <v>613</v>
      </c>
      <c r="F78" s="70">
        <v>0</v>
      </c>
      <c r="G78" s="71">
        <v>6302000</v>
      </c>
      <c r="H78" s="71"/>
      <c r="I78" s="65">
        <f t="shared" si="9"/>
        <v>6302000</v>
      </c>
      <c r="J78" s="65">
        <f>N78-3660000</f>
        <v>2642000</v>
      </c>
      <c r="K78" s="65">
        <v>2640385.9</v>
      </c>
      <c r="L78" s="65">
        <f>K78/J78*100</f>
        <v>99.9389061317184</v>
      </c>
      <c r="M78" s="65"/>
      <c r="N78" s="65">
        <f t="shared" si="10"/>
        <v>6302000</v>
      </c>
      <c r="O78" s="101" t="s">
        <v>932</v>
      </c>
      <c r="P78" s="111"/>
      <c r="Q78" s="112"/>
      <c r="R78" s="111"/>
      <c r="S78" s="112"/>
      <c r="T78" s="111"/>
      <c r="U78" s="111"/>
    </row>
    <row r="79" spans="1:21" s="113" customFormat="1" ht="15.75" customHeight="1">
      <c r="A79" s="69">
        <v>14948</v>
      </c>
      <c r="B79" s="69">
        <v>2219</v>
      </c>
      <c r="C79" s="69">
        <v>6121</v>
      </c>
      <c r="D79" s="62">
        <v>77</v>
      </c>
      <c r="E79" s="63" t="s">
        <v>614</v>
      </c>
      <c r="F79" s="70">
        <v>0</v>
      </c>
      <c r="G79" s="71">
        <v>1500000</v>
      </c>
      <c r="H79" s="71"/>
      <c r="I79" s="65">
        <f t="shared" si="9"/>
        <v>1500000</v>
      </c>
      <c r="J79" s="65">
        <f aca="true" t="shared" si="11" ref="J79:J88">N79</f>
        <v>1500000</v>
      </c>
      <c r="K79" s="65"/>
      <c r="L79" s="65"/>
      <c r="M79" s="65"/>
      <c r="N79" s="65">
        <f t="shared" si="10"/>
        <v>1500000</v>
      </c>
      <c r="O79" s="101" t="s">
        <v>932</v>
      </c>
      <c r="P79" s="111"/>
      <c r="Q79" s="112"/>
      <c r="R79" s="111"/>
      <c r="S79" s="112"/>
      <c r="T79" s="111"/>
      <c r="U79" s="111"/>
    </row>
    <row r="80" spans="1:21" s="113" customFormat="1" ht="15.75" customHeight="1">
      <c r="A80" s="69">
        <v>15016</v>
      </c>
      <c r="B80" s="69">
        <v>3421</v>
      </c>
      <c r="C80" s="69">
        <v>6121</v>
      </c>
      <c r="D80" s="62">
        <v>78</v>
      </c>
      <c r="E80" s="63" t="s">
        <v>615</v>
      </c>
      <c r="F80" s="70">
        <v>0</v>
      </c>
      <c r="G80" s="71">
        <v>620500</v>
      </c>
      <c r="H80" s="71"/>
      <c r="I80" s="65">
        <f t="shared" si="9"/>
        <v>620500</v>
      </c>
      <c r="J80" s="65">
        <f t="shared" si="11"/>
        <v>620500</v>
      </c>
      <c r="K80" s="65">
        <v>606807.1</v>
      </c>
      <c r="L80" s="65">
        <f>K80/J80*100</f>
        <v>97.79324738114423</v>
      </c>
      <c r="M80" s="65"/>
      <c r="N80" s="65">
        <f t="shared" si="10"/>
        <v>620500</v>
      </c>
      <c r="O80" s="66" t="s">
        <v>932</v>
      </c>
      <c r="P80" s="111"/>
      <c r="Q80" s="112"/>
      <c r="R80" s="111"/>
      <c r="S80" s="112"/>
      <c r="T80" s="111"/>
      <c r="U80" s="111"/>
    </row>
    <row r="81" spans="1:21" s="113" customFormat="1" ht="15.75" customHeight="1">
      <c r="A81" s="69">
        <v>15011</v>
      </c>
      <c r="B81" s="69">
        <v>3421</v>
      </c>
      <c r="C81" s="69">
        <v>6121</v>
      </c>
      <c r="D81" s="62">
        <v>79</v>
      </c>
      <c r="E81" s="63" t="s">
        <v>616</v>
      </c>
      <c r="F81" s="70">
        <v>0</v>
      </c>
      <c r="G81" s="71">
        <v>205500</v>
      </c>
      <c r="H81" s="71"/>
      <c r="I81" s="65">
        <f t="shared" si="9"/>
        <v>205500</v>
      </c>
      <c r="J81" s="65">
        <f t="shared" si="11"/>
        <v>205500</v>
      </c>
      <c r="K81" s="65">
        <v>205287</v>
      </c>
      <c r="L81" s="65">
        <f>K81/J81*100</f>
        <v>99.89635036496351</v>
      </c>
      <c r="M81" s="65"/>
      <c r="N81" s="65">
        <f t="shared" si="10"/>
        <v>205500</v>
      </c>
      <c r="O81" s="66" t="s">
        <v>932</v>
      </c>
      <c r="P81" s="111"/>
      <c r="Q81" s="112"/>
      <c r="R81" s="111"/>
      <c r="S81" s="112"/>
      <c r="T81" s="111"/>
      <c r="U81" s="111"/>
    </row>
    <row r="82" spans="1:21" s="113" customFormat="1" ht="15.75" customHeight="1">
      <c r="A82" s="69">
        <v>15010</v>
      </c>
      <c r="B82" s="69">
        <v>3421</v>
      </c>
      <c r="C82" s="69">
        <v>6121</v>
      </c>
      <c r="D82" s="62">
        <v>80</v>
      </c>
      <c r="E82" s="63" t="s">
        <v>1080</v>
      </c>
      <c r="F82" s="70">
        <v>0</v>
      </c>
      <c r="G82" s="71">
        <v>536500</v>
      </c>
      <c r="H82" s="71"/>
      <c r="I82" s="65">
        <f t="shared" si="9"/>
        <v>536500</v>
      </c>
      <c r="J82" s="65">
        <f t="shared" si="11"/>
        <v>536500</v>
      </c>
      <c r="K82" s="65">
        <v>536084</v>
      </c>
      <c r="L82" s="65">
        <f>K82/J82*100</f>
        <v>99.9224603914259</v>
      </c>
      <c r="M82" s="65"/>
      <c r="N82" s="65">
        <f t="shared" si="10"/>
        <v>536500</v>
      </c>
      <c r="O82" s="66" t="s">
        <v>932</v>
      </c>
      <c r="P82" s="111"/>
      <c r="Q82" s="112"/>
      <c r="R82" s="111"/>
      <c r="S82" s="112"/>
      <c r="T82" s="111"/>
      <c r="U82" s="111"/>
    </row>
    <row r="83" spans="1:21" s="95" customFormat="1" ht="15.75" customHeight="1">
      <c r="A83" s="117">
        <v>14912</v>
      </c>
      <c r="B83" s="118">
        <v>6171</v>
      </c>
      <c r="C83" s="118">
        <v>6121</v>
      </c>
      <c r="D83" s="62">
        <v>81</v>
      </c>
      <c r="E83" s="119" t="s">
        <v>261</v>
      </c>
      <c r="F83" s="120">
        <v>800</v>
      </c>
      <c r="G83" s="121">
        <v>0</v>
      </c>
      <c r="H83" s="121"/>
      <c r="I83" s="65">
        <f t="shared" si="9"/>
        <v>0</v>
      </c>
      <c r="J83" s="65">
        <f t="shared" si="11"/>
        <v>0</v>
      </c>
      <c r="K83" s="65"/>
      <c r="L83" s="65"/>
      <c r="M83" s="65"/>
      <c r="N83" s="65">
        <f t="shared" si="10"/>
        <v>0</v>
      </c>
      <c r="O83" s="122" t="s">
        <v>932</v>
      </c>
      <c r="P83" s="81"/>
      <c r="Q83" s="81"/>
      <c r="R83" s="81"/>
      <c r="S83" s="81"/>
      <c r="T83" s="81"/>
      <c r="U83" s="81"/>
    </row>
    <row r="84" spans="1:21" s="95" customFormat="1" ht="15.75" customHeight="1">
      <c r="A84" s="117">
        <v>14851</v>
      </c>
      <c r="B84" s="118">
        <v>2212</v>
      </c>
      <c r="C84" s="118">
        <v>6121</v>
      </c>
      <c r="D84" s="62">
        <v>82</v>
      </c>
      <c r="E84" s="119" t="s">
        <v>262</v>
      </c>
      <c r="F84" s="120">
        <v>0</v>
      </c>
      <c r="G84" s="121">
        <v>6000</v>
      </c>
      <c r="H84" s="121"/>
      <c r="I84" s="65">
        <f t="shared" si="9"/>
        <v>6000</v>
      </c>
      <c r="J84" s="65">
        <f t="shared" si="11"/>
        <v>6000</v>
      </c>
      <c r="K84" s="65">
        <v>3762</v>
      </c>
      <c r="L84" s="65">
        <f aca="true" t="shared" si="12" ref="L84:L89">K84/J84*100</f>
        <v>62.7</v>
      </c>
      <c r="M84" s="65"/>
      <c r="N84" s="65">
        <f t="shared" si="10"/>
        <v>6000</v>
      </c>
      <c r="O84" s="122" t="s">
        <v>932</v>
      </c>
      <c r="P84" s="81"/>
      <c r="Q84" s="81"/>
      <c r="R84" s="81"/>
      <c r="S84" s="81"/>
      <c r="T84" s="81"/>
      <c r="U84" s="81"/>
    </row>
    <row r="85" spans="1:21" s="128" customFormat="1" ht="15.75" customHeight="1">
      <c r="A85" s="123">
        <v>14351</v>
      </c>
      <c r="B85" s="124">
        <v>2219</v>
      </c>
      <c r="C85" s="124">
        <v>6121</v>
      </c>
      <c r="D85" s="62">
        <v>83</v>
      </c>
      <c r="E85" s="125" t="s">
        <v>263</v>
      </c>
      <c r="F85" s="126">
        <v>0</v>
      </c>
      <c r="G85" s="127">
        <v>3030500</v>
      </c>
      <c r="H85" s="127">
        <v>-260000</v>
      </c>
      <c r="I85" s="65">
        <f t="shared" si="9"/>
        <v>2770500</v>
      </c>
      <c r="J85" s="65">
        <f t="shared" si="11"/>
        <v>2770500</v>
      </c>
      <c r="K85" s="65">
        <v>2739751</v>
      </c>
      <c r="L85" s="65">
        <f t="shared" si="12"/>
        <v>98.89012813571557</v>
      </c>
      <c r="M85" s="65"/>
      <c r="N85" s="65">
        <f t="shared" si="10"/>
        <v>2770500</v>
      </c>
      <c r="O85" s="122" t="s">
        <v>932</v>
      </c>
      <c r="P85" s="86"/>
      <c r="Q85" s="86"/>
      <c r="R85" s="86"/>
      <c r="S85" s="86"/>
      <c r="T85" s="86"/>
      <c r="U85" s="86"/>
    </row>
    <row r="86" spans="1:15" s="86" customFormat="1" ht="15.75" customHeight="1">
      <c r="A86" s="123">
        <v>14803</v>
      </c>
      <c r="B86" s="124">
        <v>3113</v>
      </c>
      <c r="C86" s="124">
        <v>6121</v>
      </c>
      <c r="D86" s="62">
        <v>84</v>
      </c>
      <c r="E86" s="125" t="s">
        <v>264</v>
      </c>
      <c r="F86" s="126"/>
      <c r="G86" s="127">
        <v>34886.4</v>
      </c>
      <c r="H86" s="127"/>
      <c r="I86" s="65">
        <f t="shared" si="9"/>
        <v>34886.4</v>
      </c>
      <c r="J86" s="65">
        <f t="shared" si="11"/>
        <v>34886.4</v>
      </c>
      <c r="K86" s="65">
        <v>34886.4</v>
      </c>
      <c r="L86" s="65">
        <f t="shared" si="12"/>
        <v>100</v>
      </c>
      <c r="M86" s="65"/>
      <c r="N86" s="65">
        <f t="shared" si="10"/>
        <v>34886.4</v>
      </c>
      <c r="O86" s="122" t="s">
        <v>932</v>
      </c>
    </row>
    <row r="87" spans="1:21" s="116" customFormat="1" ht="15.75" customHeight="1">
      <c r="A87" s="129">
        <v>14899</v>
      </c>
      <c r="B87" s="130">
        <v>3113</v>
      </c>
      <c r="C87" s="130">
        <v>6121</v>
      </c>
      <c r="D87" s="62">
        <v>85</v>
      </c>
      <c r="E87" s="66" t="s">
        <v>842</v>
      </c>
      <c r="F87" s="64">
        <v>0</v>
      </c>
      <c r="G87" s="99">
        <v>5002000</v>
      </c>
      <c r="H87" s="65"/>
      <c r="I87" s="65">
        <f t="shared" si="9"/>
        <v>5002000</v>
      </c>
      <c r="J87" s="65">
        <f>N87+255000</f>
        <v>5257000</v>
      </c>
      <c r="K87" s="65">
        <v>5219217.6</v>
      </c>
      <c r="L87" s="65">
        <f t="shared" si="12"/>
        <v>99.28129351341069</v>
      </c>
      <c r="M87" s="65"/>
      <c r="N87" s="65">
        <f t="shared" si="10"/>
        <v>5002000</v>
      </c>
      <c r="O87" s="101" t="s">
        <v>932</v>
      </c>
      <c r="P87" s="114"/>
      <c r="Q87" s="115"/>
      <c r="R87" s="115"/>
      <c r="S87" s="115"/>
      <c r="T87" s="115"/>
      <c r="U87" s="115"/>
    </row>
    <row r="88" spans="1:21" s="116" customFormat="1" ht="15.75" customHeight="1">
      <c r="A88" s="74">
        <v>14997</v>
      </c>
      <c r="B88" s="131">
        <v>3113</v>
      </c>
      <c r="C88" s="131">
        <v>6121</v>
      </c>
      <c r="D88" s="62">
        <v>86</v>
      </c>
      <c r="E88" s="88" t="s">
        <v>843</v>
      </c>
      <c r="F88" s="83">
        <v>0</v>
      </c>
      <c r="G88" s="99">
        <v>2350000</v>
      </c>
      <c r="H88" s="84"/>
      <c r="I88" s="65">
        <f t="shared" si="9"/>
        <v>2350000</v>
      </c>
      <c r="J88" s="65">
        <f t="shared" si="11"/>
        <v>2350000</v>
      </c>
      <c r="K88" s="84">
        <v>2322962.8</v>
      </c>
      <c r="L88" s="65">
        <f t="shared" si="12"/>
        <v>98.84948085106382</v>
      </c>
      <c r="M88" s="65"/>
      <c r="N88" s="65">
        <f t="shared" si="10"/>
        <v>2350000</v>
      </c>
      <c r="O88" s="101" t="s">
        <v>932</v>
      </c>
      <c r="P88" s="114"/>
      <c r="Q88" s="115"/>
      <c r="R88" s="115"/>
      <c r="S88" s="115"/>
      <c r="T88" s="115"/>
      <c r="U88" s="115"/>
    </row>
    <row r="89" spans="1:21" s="116" customFormat="1" ht="15.75" customHeight="1">
      <c r="A89" s="74">
        <v>14795</v>
      </c>
      <c r="B89" s="131">
        <v>3141</v>
      </c>
      <c r="C89" s="131">
        <v>6121</v>
      </c>
      <c r="D89" s="62">
        <v>87</v>
      </c>
      <c r="E89" s="88" t="s">
        <v>330</v>
      </c>
      <c r="F89" s="83">
        <v>0</v>
      </c>
      <c r="G89" s="99">
        <v>3100000</v>
      </c>
      <c r="H89" s="84"/>
      <c r="I89" s="65">
        <v>3100000</v>
      </c>
      <c r="J89" s="65">
        <f>N89-100000</f>
        <v>3000000</v>
      </c>
      <c r="K89" s="84">
        <v>2926158</v>
      </c>
      <c r="L89" s="65">
        <f t="shared" si="12"/>
        <v>97.5386</v>
      </c>
      <c r="M89" s="65"/>
      <c r="N89" s="65">
        <f t="shared" si="10"/>
        <v>3100000</v>
      </c>
      <c r="O89" s="101" t="s">
        <v>932</v>
      </c>
      <c r="P89" s="114"/>
      <c r="Q89" s="115"/>
      <c r="R89" s="115"/>
      <c r="S89" s="115"/>
      <c r="T89" s="115"/>
      <c r="U89" s="115"/>
    </row>
    <row r="90" spans="1:15" ht="15.75" customHeight="1">
      <c r="A90" s="69">
        <v>14792</v>
      </c>
      <c r="B90" s="69">
        <v>3113</v>
      </c>
      <c r="C90" s="69">
        <v>6121</v>
      </c>
      <c r="D90" s="62">
        <v>88</v>
      </c>
      <c r="E90" s="63" t="s">
        <v>331</v>
      </c>
      <c r="F90" s="64">
        <v>500</v>
      </c>
      <c r="G90" s="65">
        <v>0</v>
      </c>
      <c r="H90" s="65"/>
      <c r="I90" s="65">
        <f>G90+H90</f>
        <v>0</v>
      </c>
      <c r="J90" s="65">
        <f>N90</f>
        <v>0</v>
      </c>
      <c r="K90" s="65"/>
      <c r="L90" s="65"/>
      <c r="M90" s="65"/>
      <c r="N90" s="65">
        <f t="shared" si="10"/>
        <v>0</v>
      </c>
      <c r="O90" s="66" t="s">
        <v>932</v>
      </c>
    </row>
    <row r="91" spans="1:15" ht="15.75" customHeight="1">
      <c r="A91" s="69">
        <v>14343</v>
      </c>
      <c r="B91" s="69">
        <v>3113</v>
      </c>
      <c r="C91" s="69">
        <v>6121</v>
      </c>
      <c r="D91" s="62">
        <v>89</v>
      </c>
      <c r="E91" s="63" t="s">
        <v>808</v>
      </c>
      <c r="F91" s="132">
        <v>0</v>
      </c>
      <c r="G91" s="133">
        <v>7302000</v>
      </c>
      <c r="H91" s="133"/>
      <c r="I91" s="65">
        <f>G91+H91</f>
        <v>7302000</v>
      </c>
      <c r="J91" s="65">
        <f>N91</f>
        <v>0</v>
      </c>
      <c r="K91" s="65"/>
      <c r="L91" s="65"/>
      <c r="M91" s="65">
        <v>7302000</v>
      </c>
      <c r="N91" s="65">
        <f t="shared" si="10"/>
        <v>0</v>
      </c>
      <c r="O91" s="66" t="s">
        <v>932</v>
      </c>
    </row>
    <row r="92" spans="1:16" ht="15.75" customHeight="1">
      <c r="A92" s="79">
        <v>14509</v>
      </c>
      <c r="B92" s="79">
        <v>3113</v>
      </c>
      <c r="C92" s="79">
        <v>6121</v>
      </c>
      <c r="D92" s="62">
        <v>90</v>
      </c>
      <c r="E92" s="92" t="s">
        <v>332</v>
      </c>
      <c r="F92" s="70">
        <f>18127-7800</f>
        <v>10327</v>
      </c>
      <c r="G92" s="134">
        <v>17652000</v>
      </c>
      <c r="H92" s="135"/>
      <c r="I92" s="84">
        <f>G92+H92</f>
        <v>17652000</v>
      </c>
      <c r="J92" s="65">
        <f>N92-1050000</f>
        <v>16602000</v>
      </c>
      <c r="K92" s="136">
        <v>16560657.15</v>
      </c>
      <c r="L92" s="65">
        <f aca="true" t="shared" si="13" ref="L92:L97">K92/J92*100</f>
        <v>99.75097668955549</v>
      </c>
      <c r="M92" s="84"/>
      <c r="N92" s="65">
        <f t="shared" si="10"/>
        <v>17652000</v>
      </c>
      <c r="O92" s="88" t="s">
        <v>932</v>
      </c>
      <c r="P92" s="137"/>
    </row>
    <row r="93" spans="1:16" ht="15.75" customHeight="1">
      <c r="A93" s="79">
        <v>14509</v>
      </c>
      <c r="B93" s="79">
        <v>3113</v>
      </c>
      <c r="C93" s="79">
        <v>6121</v>
      </c>
      <c r="D93" s="62">
        <v>91</v>
      </c>
      <c r="E93" s="92" t="s">
        <v>332</v>
      </c>
      <c r="F93" s="138">
        <v>0</v>
      </c>
      <c r="G93" s="134"/>
      <c r="H93" s="135"/>
      <c r="I93" s="84"/>
      <c r="J93" s="65">
        <v>5180.49</v>
      </c>
      <c r="K93" s="136">
        <v>5180.49</v>
      </c>
      <c r="L93" s="65">
        <f t="shared" si="13"/>
        <v>100</v>
      </c>
      <c r="M93" s="84"/>
      <c r="N93" s="65"/>
      <c r="O93" s="397" t="s">
        <v>93</v>
      </c>
      <c r="P93" s="137"/>
    </row>
    <row r="94" spans="1:16" ht="15.75" customHeight="1">
      <c r="A94" s="79">
        <v>15075</v>
      </c>
      <c r="B94" s="79">
        <v>3113</v>
      </c>
      <c r="C94" s="79">
        <v>6121</v>
      </c>
      <c r="D94" s="62">
        <v>92</v>
      </c>
      <c r="E94" s="92" t="s">
        <v>332</v>
      </c>
      <c r="F94" s="138">
        <v>0</v>
      </c>
      <c r="G94" s="134"/>
      <c r="H94" s="135"/>
      <c r="I94" s="84"/>
      <c r="J94" s="65">
        <v>1450000</v>
      </c>
      <c r="K94" s="136">
        <v>1437905</v>
      </c>
      <c r="L94" s="65">
        <f t="shared" si="13"/>
        <v>99.16586206896551</v>
      </c>
      <c r="M94" s="84"/>
      <c r="N94" s="65"/>
      <c r="O94" s="397"/>
      <c r="P94" s="137"/>
    </row>
    <row r="95" spans="1:16" ht="15.75" customHeight="1">
      <c r="A95" s="79">
        <v>15003</v>
      </c>
      <c r="B95" s="79">
        <v>3113</v>
      </c>
      <c r="C95" s="79">
        <v>6121</v>
      </c>
      <c r="D95" s="62">
        <v>93</v>
      </c>
      <c r="E95" s="92" t="s">
        <v>333</v>
      </c>
      <c r="F95" s="138"/>
      <c r="G95" s="135">
        <v>4125000</v>
      </c>
      <c r="H95" s="135"/>
      <c r="I95" s="84">
        <f>G95+H95</f>
        <v>4125000</v>
      </c>
      <c r="J95" s="65">
        <f>N95-400000</f>
        <v>3725000</v>
      </c>
      <c r="K95" s="136">
        <v>3702925.06</v>
      </c>
      <c r="L95" s="65">
        <f t="shared" si="13"/>
        <v>99.40738416107384</v>
      </c>
      <c r="M95" s="84"/>
      <c r="N95" s="65">
        <f>I95-M95</f>
        <v>4125000</v>
      </c>
      <c r="O95" s="88" t="s">
        <v>932</v>
      </c>
      <c r="P95" s="137"/>
    </row>
    <row r="96" spans="1:21" s="147" customFormat="1" ht="15.75" customHeight="1" thickBot="1">
      <c r="A96" s="139">
        <v>14950</v>
      </c>
      <c r="B96" s="139">
        <v>3113</v>
      </c>
      <c r="C96" s="139">
        <v>6121</v>
      </c>
      <c r="D96" s="62">
        <v>94</v>
      </c>
      <c r="E96" s="140" t="s">
        <v>334</v>
      </c>
      <c r="F96" s="141">
        <v>0</v>
      </c>
      <c r="G96" s="142">
        <v>3000000</v>
      </c>
      <c r="H96" s="142"/>
      <c r="I96" s="143">
        <f>G96+H96</f>
        <v>3000000</v>
      </c>
      <c r="J96" s="65">
        <f>N96</f>
        <v>3000000</v>
      </c>
      <c r="K96" s="143">
        <v>2990800.8</v>
      </c>
      <c r="L96" s="84">
        <f t="shared" si="13"/>
        <v>99.69336</v>
      </c>
      <c r="M96" s="84"/>
      <c r="N96" s="65">
        <f>I96-M96</f>
        <v>3000000</v>
      </c>
      <c r="O96" s="144" t="s">
        <v>932</v>
      </c>
      <c r="P96" s="145"/>
      <c r="Q96" s="146"/>
      <c r="R96" s="146"/>
      <c r="S96" s="146"/>
      <c r="T96" s="146"/>
      <c r="U96" s="146"/>
    </row>
    <row r="97" spans="1:21" s="156" customFormat="1" ht="16.5" thickBot="1">
      <c r="A97" s="148"/>
      <c r="B97" s="149"/>
      <c r="C97" s="149"/>
      <c r="D97" s="149"/>
      <c r="E97" s="150" t="s">
        <v>335</v>
      </c>
      <c r="F97" s="151">
        <f aca="true" t="shared" si="14" ref="F97:K97">SUM(F3:F96)</f>
        <v>362277</v>
      </c>
      <c r="G97" s="152">
        <f t="shared" si="14"/>
        <v>516417131.4</v>
      </c>
      <c r="H97" s="152">
        <f t="shared" si="14"/>
        <v>-120000</v>
      </c>
      <c r="I97" s="152">
        <f t="shared" si="14"/>
        <v>516297131.4</v>
      </c>
      <c r="J97" s="152">
        <f t="shared" si="14"/>
        <v>536673235.47</v>
      </c>
      <c r="K97" s="152">
        <f t="shared" si="14"/>
        <v>528673184.26000017</v>
      </c>
      <c r="L97" s="153">
        <f t="shared" si="13"/>
        <v>98.5093254738158</v>
      </c>
      <c r="M97" s="152">
        <f>SUM(M3:M96)</f>
        <v>21832000</v>
      </c>
      <c r="N97" s="152">
        <f>SUM(N3:N96)</f>
        <v>494465131.4</v>
      </c>
      <c r="O97" s="154"/>
      <c r="P97" s="155"/>
      <c r="Q97" s="155"/>
      <c r="R97" s="155"/>
      <c r="S97" s="155"/>
      <c r="T97" s="155"/>
      <c r="U97" s="155"/>
    </row>
    <row r="98" spans="1:22" s="67" customFormat="1" ht="15.75">
      <c r="A98" s="172"/>
      <c r="B98" s="172"/>
      <c r="C98" s="172"/>
      <c r="D98" s="172"/>
      <c r="E98" s="167"/>
      <c r="F98" s="159"/>
      <c r="G98" s="159"/>
      <c r="H98" s="159"/>
      <c r="I98" s="159"/>
      <c r="J98" s="159"/>
      <c r="K98" s="159"/>
      <c r="L98" s="159"/>
      <c r="M98" s="159"/>
      <c r="N98" s="159"/>
      <c r="O98" s="171"/>
      <c r="V98" s="72"/>
    </row>
    <row r="99" spans="1:22" s="67" customFormat="1" ht="15.75">
      <c r="A99" s="172"/>
      <c r="B99" s="172"/>
      <c r="C99" s="172"/>
      <c r="D99" s="172"/>
      <c r="E99" s="167"/>
      <c r="F99" s="159"/>
      <c r="G99" s="159"/>
      <c r="H99" s="159"/>
      <c r="I99" s="159"/>
      <c r="J99" s="159"/>
      <c r="K99" s="159"/>
      <c r="L99" s="159"/>
      <c r="M99" s="159"/>
      <c r="N99" s="159"/>
      <c r="O99" s="171"/>
      <c r="V99" s="72"/>
    </row>
    <row r="100" spans="1:22" s="67" customFormat="1" ht="15.75">
      <c r="A100" s="172"/>
      <c r="B100" s="172"/>
      <c r="C100" s="172"/>
      <c r="D100" s="172"/>
      <c r="E100" s="167"/>
      <c r="F100" s="159"/>
      <c r="G100" s="159"/>
      <c r="H100" s="159"/>
      <c r="I100" s="159"/>
      <c r="J100" s="159"/>
      <c r="K100" s="159"/>
      <c r="L100" s="159"/>
      <c r="M100" s="159"/>
      <c r="N100" s="159"/>
      <c r="O100" s="171"/>
      <c r="V100" s="72"/>
    </row>
    <row r="101" ht="15.75">
      <c r="E101" s="167"/>
    </row>
    <row r="102" ht="15.75">
      <c r="E102" s="167"/>
    </row>
    <row r="103" ht="15.75">
      <c r="E103" s="167"/>
    </row>
    <row r="104" ht="15.75">
      <c r="E104" s="167"/>
    </row>
    <row r="105" ht="15.75">
      <c r="E105" s="167"/>
    </row>
    <row r="106" ht="15.75">
      <c r="E106" s="167"/>
    </row>
    <row r="107" ht="15.75">
      <c r="E107" s="167"/>
    </row>
    <row r="108" ht="15.75">
      <c r="E108" s="167"/>
    </row>
    <row r="109" ht="15.75">
      <c r="E109" s="167"/>
    </row>
    <row r="110" ht="15.75">
      <c r="E110" s="167"/>
    </row>
    <row r="111" ht="15.75">
      <c r="E111" s="167"/>
    </row>
    <row r="112" ht="15.75">
      <c r="E112" s="167"/>
    </row>
    <row r="113" ht="15.75">
      <c r="E113" s="167"/>
    </row>
    <row r="114" ht="15.75">
      <c r="E114" s="167"/>
    </row>
    <row r="115" ht="15.75">
      <c r="E115" s="167"/>
    </row>
    <row r="116" ht="15.75">
      <c r="E116" s="167"/>
    </row>
    <row r="117" ht="15.75">
      <c r="E117" s="167"/>
    </row>
    <row r="118" ht="15.75">
      <c r="E118" s="167"/>
    </row>
  </sheetData>
  <printOptions/>
  <pageMargins left="1.09" right="0.17" top="1.09" bottom="0.72" header="0.75" footer="0.4921259845"/>
  <pageSetup horizontalDpi="600" verticalDpi="600" orientation="landscape" paperSize="9" scale="70" r:id="rId2"/>
  <headerFooter alignWithMargins="0">
    <oddHeader>&amp;C&amp;"Arial,Tučné"&amp;12Schválený rozpočet investičních akcí na rok 2009 - individuální příslib&amp;RPříloha č. 8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9"/>
  <sheetViews>
    <sheetView workbookViewId="0" topLeftCell="A1">
      <pane xSplit="1" ySplit="1" topLeftCell="B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43" sqref="G143"/>
    </sheetView>
  </sheetViews>
  <sheetFormatPr defaultColWidth="9.00390625" defaultRowHeight="12.75"/>
  <cols>
    <col min="1" max="1" width="5.25390625" style="708" customWidth="1"/>
    <col min="2" max="2" width="36.00390625" style="11" customWidth="1"/>
    <col min="3" max="4" width="12.125" style="11" customWidth="1"/>
    <col min="5" max="5" width="14.75390625" style="11" customWidth="1"/>
    <col min="6" max="6" width="12.125" style="11" customWidth="1"/>
    <col min="7" max="7" width="70.75390625" style="11" customWidth="1"/>
    <col min="8" max="8" width="10.875" style="11" bestFit="1" customWidth="1"/>
    <col min="9" max="17" width="9.125" style="11" customWidth="1"/>
    <col min="18" max="18" width="8.875" style="11" customWidth="1"/>
    <col min="19" max="20" width="9.125" style="11" customWidth="1"/>
    <col min="21" max="22" width="8.875" style="11" customWidth="1"/>
    <col min="23" max="16384" width="9.125" style="11" customWidth="1"/>
  </cols>
  <sheetData>
    <row r="1" spans="1:7" s="672" customFormat="1" ht="36.75" customHeight="1">
      <c r="A1" s="668" t="s">
        <v>411</v>
      </c>
      <c r="B1" s="669" t="s">
        <v>412</v>
      </c>
      <c r="C1" s="670" t="s">
        <v>459</v>
      </c>
      <c r="D1" s="670" t="s">
        <v>413</v>
      </c>
      <c r="E1" s="670" t="s">
        <v>414</v>
      </c>
      <c r="F1" s="670" t="s">
        <v>415</v>
      </c>
      <c r="G1" s="671" t="s">
        <v>416</v>
      </c>
    </row>
    <row r="2" spans="1:7" ht="13.5" customHeight="1">
      <c r="A2" s="673">
        <v>1111</v>
      </c>
      <c r="B2" s="674" t="s">
        <v>417</v>
      </c>
      <c r="C2" s="675">
        <v>260000000</v>
      </c>
      <c r="D2" s="675">
        <v>250000000</v>
      </c>
      <c r="E2" s="675">
        <v>221773566.48</v>
      </c>
      <c r="F2" s="675">
        <f>E2/D2*100</f>
        <v>88.709426592</v>
      </c>
      <c r="G2" s="676"/>
    </row>
    <row r="3" spans="1:7" ht="13.5" customHeight="1">
      <c r="A3" s="673">
        <v>1112</v>
      </c>
      <c r="B3" s="674" t="s">
        <v>418</v>
      </c>
      <c r="C3" s="675">
        <v>75000000</v>
      </c>
      <c r="D3" s="675">
        <v>50000000</v>
      </c>
      <c r="E3" s="675">
        <v>27730624.77</v>
      </c>
      <c r="F3" s="675">
        <f aca="true" t="shared" si="0" ref="F3:F9">E3/D3*100</f>
        <v>55.461249540000004</v>
      </c>
      <c r="G3" s="676"/>
    </row>
    <row r="4" spans="1:7" ht="13.5" customHeight="1">
      <c r="A4" s="673">
        <v>1113</v>
      </c>
      <c r="B4" s="674" t="s">
        <v>419</v>
      </c>
      <c r="C4" s="675">
        <v>18000000</v>
      </c>
      <c r="D4" s="675">
        <v>17000000</v>
      </c>
      <c r="E4" s="675">
        <v>18206421.23</v>
      </c>
      <c r="F4" s="675">
        <f t="shared" si="0"/>
        <v>107.09659547058823</v>
      </c>
      <c r="G4" s="676"/>
    </row>
    <row r="5" spans="1:9" ht="13.5" customHeight="1">
      <c r="A5" s="673">
        <v>1121</v>
      </c>
      <c r="B5" s="674" t="s">
        <v>420</v>
      </c>
      <c r="C5" s="675">
        <v>370000000</v>
      </c>
      <c r="D5" s="675">
        <v>296000000</v>
      </c>
      <c r="E5" s="675">
        <v>227025957.19</v>
      </c>
      <c r="F5" s="675">
        <f t="shared" si="0"/>
        <v>76.69795851013514</v>
      </c>
      <c r="G5" s="676"/>
      <c r="H5" s="677"/>
      <c r="I5" s="678"/>
    </row>
    <row r="6" spans="1:8" ht="13.5" customHeight="1">
      <c r="A6" s="673">
        <v>1122</v>
      </c>
      <c r="B6" s="674" t="s">
        <v>421</v>
      </c>
      <c r="C6" s="675">
        <v>99595000</v>
      </c>
      <c r="D6" s="675">
        <v>59230137</v>
      </c>
      <c r="E6" s="675">
        <v>59230137</v>
      </c>
      <c r="F6" s="675">
        <f t="shared" si="0"/>
        <v>100</v>
      </c>
      <c r="G6" s="676" t="s">
        <v>101</v>
      </c>
      <c r="H6" s="675"/>
    </row>
    <row r="7" spans="1:8" ht="13.5" customHeight="1">
      <c r="A7" s="673"/>
      <c r="B7" s="674"/>
      <c r="C7" s="675"/>
      <c r="D7" s="675"/>
      <c r="E7" s="675"/>
      <c r="F7" s="675"/>
      <c r="G7" s="679" t="s">
        <v>422</v>
      </c>
      <c r="H7" s="677"/>
    </row>
    <row r="8" spans="1:8" ht="13.5" customHeight="1">
      <c r="A8" s="673">
        <v>1211</v>
      </c>
      <c r="B8" s="674" t="s">
        <v>423</v>
      </c>
      <c r="C8" s="675">
        <v>500000000</v>
      </c>
      <c r="D8" s="675">
        <v>460000000</v>
      </c>
      <c r="E8" s="675">
        <v>456780441</v>
      </c>
      <c r="F8" s="675">
        <f t="shared" si="0"/>
        <v>99.30009586956523</v>
      </c>
      <c r="G8" s="676"/>
      <c r="H8" s="675"/>
    </row>
    <row r="9" spans="1:7" ht="13.5" customHeight="1" thickBot="1">
      <c r="A9" s="673">
        <v>1511</v>
      </c>
      <c r="B9" s="674" t="s">
        <v>424</v>
      </c>
      <c r="C9" s="675">
        <v>48000000</v>
      </c>
      <c r="D9" s="675">
        <v>48000000</v>
      </c>
      <c r="E9" s="675">
        <v>51259224.27</v>
      </c>
      <c r="F9" s="675">
        <f t="shared" si="0"/>
        <v>106.79005056250001</v>
      </c>
      <c r="G9" s="676"/>
    </row>
    <row r="10" spans="1:8" ht="13.5" customHeight="1" thickBot="1">
      <c r="A10" s="673"/>
      <c r="B10" s="680" t="s">
        <v>425</v>
      </c>
      <c r="C10" s="681">
        <f>SUM(C2:C9)</f>
        <v>1370595000</v>
      </c>
      <c r="D10" s="681">
        <f>SUM(D2:D9)</f>
        <v>1180230137</v>
      </c>
      <c r="E10" s="681">
        <f>SUM(E2:E9)</f>
        <v>1062006371.9399999</v>
      </c>
      <c r="F10" s="681">
        <f>E10/D10*100</f>
        <v>89.9829904902691</v>
      </c>
      <c r="G10" s="676" t="s">
        <v>39</v>
      </c>
      <c r="H10" s="682"/>
    </row>
    <row r="11" spans="1:7" ht="13.5" customHeight="1">
      <c r="A11" s="673">
        <v>1332</v>
      </c>
      <c r="B11" s="674" t="s">
        <v>426</v>
      </c>
      <c r="C11" s="675">
        <v>50000</v>
      </c>
      <c r="D11" s="675">
        <v>50000</v>
      </c>
      <c r="E11" s="675">
        <v>54700</v>
      </c>
      <c r="F11" s="675">
        <f>E11/D11*100</f>
        <v>109.4</v>
      </c>
      <c r="G11" s="676" t="s">
        <v>427</v>
      </c>
    </row>
    <row r="12" spans="1:7" ht="13.5" customHeight="1">
      <c r="A12" s="673">
        <v>1334</v>
      </c>
      <c r="B12" s="674" t="s">
        <v>428</v>
      </c>
      <c r="C12" s="675">
        <v>200000</v>
      </c>
      <c r="D12" s="675">
        <v>200000</v>
      </c>
      <c r="E12" s="675">
        <v>792868</v>
      </c>
      <c r="F12" s="675">
        <f>E12/D12*100</f>
        <v>396.43399999999997</v>
      </c>
      <c r="G12" s="676" t="s">
        <v>429</v>
      </c>
    </row>
    <row r="13" spans="1:7" ht="13.5" customHeight="1">
      <c r="A13" s="673">
        <v>1335</v>
      </c>
      <c r="B13" s="674" t="s">
        <v>430</v>
      </c>
      <c r="C13" s="675">
        <v>0</v>
      </c>
      <c r="D13" s="675">
        <v>0</v>
      </c>
      <c r="E13" s="675">
        <v>39395</v>
      </c>
      <c r="F13" s="675">
        <v>0</v>
      </c>
      <c r="G13" s="676"/>
    </row>
    <row r="14" spans="1:7" ht="13.5" customHeight="1">
      <c r="A14" s="673">
        <v>1337</v>
      </c>
      <c r="B14" s="674" t="s">
        <v>431</v>
      </c>
      <c r="C14" s="675">
        <v>43000000</v>
      </c>
      <c r="D14" s="675">
        <v>43000000</v>
      </c>
      <c r="E14" s="675">
        <v>42673567.62</v>
      </c>
      <c r="F14" s="675">
        <f aca="true" t="shared" si="1" ref="F14:F22">E14/D14*100</f>
        <v>99.24085493023254</v>
      </c>
      <c r="G14" s="676"/>
    </row>
    <row r="15" spans="1:7" ht="13.5" customHeight="1">
      <c r="A15" s="673">
        <v>1341</v>
      </c>
      <c r="B15" s="674" t="s">
        <v>432</v>
      </c>
      <c r="C15" s="675">
        <v>2800000</v>
      </c>
      <c r="D15" s="675">
        <v>2800000</v>
      </c>
      <c r="E15" s="675">
        <v>2665295.95</v>
      </c>
      <c r="F15" s="675">
        <f t="shared" si="1"/>
        <v>95.18914107142858</v>
      </c>
      <c r="G15" s="683"/>
    </row>
    <row r="16" spans="1:7" ht="13.5" customHeight="1">
      <c r="A16" s="673">
        <v>1342</v>
      </c>
      <c r="B16" s="674" t="s">
        <v>433</v>
      </c>
      <c r="C16" s="675">
        <v>500000</v>
      </c>
      <c r="D16" s="675">
        <v>500000</v>
      </c>
      <c r="E16" s="675">
        <v>556819</v>
      </c>
      <c r="F16" s="675">
        <f t="shared" si="1"/>
        <v>111.3638</v>
      </c>
      <c r="G16" s="676"/>
    </row>
    <row r="17" spans="1:7" ht="13.5" customHeight="1">
      <c r="A17" s="673">
        <v>1343</v>
      </c>
      <c r="B17" s="674" t="s">
        <v>434</v>
      </c>
      <c r="C17" s="675">
        <v>5000000</v>
      </c>
      <c r="D17" s="675">
        <v>5000000</v>
      </c>
      <c r="E17" s="675">
        <v>4017288.75</v>
      </c>
      <c r="F17" s="675">
        <f t="shared" si="1"/>
        <v>80.345775</v>
      </c>
      <c r="G17" s="676"/>
    </row>
    <row r="18" spans="1:7" ht="13.5" customHeight="1">
      <c r="A18" s="673">
        <v>1344</v>
      </c>
      <c r="B18" s="674" t="s">
        <v>435</v>
      </c>
      <c r="C18" s="675">
        <v>50000</v>
      </c>
      <c r="D18" s="675">
        <v>50000</v>
      </c>
      <c r="E18" s="675">
        <v>40317</v>
      </c>
      <c r="F18" s="675">
        <f t="shared" si="1"/>
        <v>80.634</v>
      </c>
      <c r="G18" s="676"/>
    </row>
    <row r="19" spans="1:7" ht="13.5" customHeight="1">
      <c r="A19" s="673">
        <v>1345</v>
      </c>
      <c r="B19" s="674" t="s">
        <v>436</v>
      </c>
      <c r="C19" s="675">
        <v>1000000</v>
      </c>
      <c r="D19" s="675">
        <v>1000000</v>
      </c>
      <c r="E19" s="675">
        <v>981736.98</v>
      </c>
      <c r="F19" s="675">
        <f t="shared" si="1"/>
        <v>98.173698</v>
      </c>
      <c r="G19" s="684"/>
    </row>
    <row r="20" spans="1:7" ht="13.5" customHeight="1">
      <c r="A20" s="673">
        <v>1346</v>
      </c>
      <c r="B20" s="674" t="s">
        <v>437</v>
      </c>
      <c r="C20" s="675">
        <v>250000</v>
      </c>
      <c r="D20" s="675">
        <v>250000</v>
      </c>
      <c r="E20" s="675">
        <v>3760</v>
      </c>
      <c r="F20" s="675">
        <f t="shared" si="1"/>
        <v>1.504</v>
      </c>
      <c r="G20" s="676"/>
    </row>
    <row r="21" spans="1:7" ht="13.5" customHeight="1">
      <c r="A21" s="673">
        <v>1347</v>
      </c>
      <c r="B21" s="674" t="s">
        <v>438</v>
      </c>
      <c r="C21" s="675">
        <v>17000000</v>
      </c>
      <c r="D21" s="675">
        <v>17000000</v>
      </c>
      <c r="E21" s="675">
        <v>16061510</v>
      </c>
      <c r="F21" s="675">
        <f t="shared" si="1"/>
        <v>94.47947058823529</v>
      </c>
      <c r="G21" s="676"/>
    </row>
    <row r="22" spans="1:7" ht="13.5" customHeight="1">
      <c r="A22" s="673">
        <v>1351</v>
      </c>
      <c r="B22" s="674" t="s">
        <v>439</v>
      </c>
      <c r="C22" s="675">
        <v>12000000</v>
      </c>
      <c r="D22" s="675">
        <v>12000000</v>
      </c>
      <c r="E22" s="675">
        <v>11107178</v>
      </c>
      <c r="F22" s="675">
        <f t="shared" si="1"/>
        <v>92.55981666666668</v>
      </c>
      <c r="G22" s="679"/>
    </row>
    <row r="23" spans="1:7" ht="13.5" customHeight="1">
      <c r="A23" s="673">
        <v>1353</v>
      </c>
      <c r="B23" s="674" t="s">
        <v>440</v>
      </c>
      <c r="C23" s="675"/>
      <c r="D23" s="675"/>
      <c r="E23" s="675"/>
      <c r="F23" s="675"/>
      <c r="G23" s="679"/>
    </row>
    <row r="24" spans="1:7" ht="13.5" customHeight="1">
      <c r="A24" s="673"/>
      <c r="B24" s="674" t="s">
        <v>441</v>
      </c>
      <c r="C24" s="675">
        <v>2500000</v>
      </c>
      <c r="D24" s="675">
        <v>2500000</v>
      </c>
      <c r="E24" s="675">
        <v>2836350</v>
      </c>
      <c r="F24" s="675">
        <f>E24/D24*100</f>
        <v>113.45400000000001</v>
      </c>
      <c r="G24" s="679"/>
    </row>
    <row r="25" spans="1:7" ht="13.5" customHeight="1">
      <c r="A25" s="673">
        <v>1359</v>
      </c>
      <c r="B25" s="674" t="s">
        <v>442</v>
      </c>
      <c r="C25" s="675">
        <v>0</v>
      </c>
      <c r="D25" s="675">
        <v>0</v>
      </c>
      <c r="E25" s="675">
        <v>706000</v>
      </c>
      <c r="F25" s="675">
        <v>0</v>
      </c>
      <c r="G25" s="679" t="s">
        <v>682</v>
      </c>
    </row>
    <row r="26" spans="1:7" ht="13.5" customHeight="1">
      <c r="A26" s="673">
        <v>1361</v>
      </c>
      <c r="B26" s="674" t="s">
        <v>443</v>
      </c>
      <c r="C26" s="675">
        <v>27000000</v>
      </c>
      <c r="D26" s="675">
        <v>27000000</v>
      </c>
      <c r="E26" s="675">
        <v>18363400</v>
      </c>
      <c r="F26" s="675">
        <f>E26/D26*100</f>
        <v>68.0125925925926</v>
      </c>
      <c r="G26" s="685" t="s">
        <v>718</v>
      </c>
    </row>
    <row r="27" spans="1:7" ht="13.5" customHeight="1">
      <c r="A27" s="673">
        <v>1361</v>
      </c>
      <c r="B27" s="674" t="s">
        <v>444</v>
      </c>
      <c r="C27" s="675">
        <v>37600000</v>
      </c>
      <c r="D27" s="675">
        <v>37600000</v>
      </c>
      <c r="E27" s="675">
        <v>25708885</v>
      </c>
      <c r="F27" s="675">
        <f>E27/D27*100</f>
        <v>68.37469414893617</v>
      </c>
      <c r="G27" s="686" t="s">
        <v>719</v>
      </c>
    </row>
    <row r="28" spans="1:7" ht="13.5" customHeight="1">
      <c r="A28" s="673"/>
      <c r="B28" s="674"/>
      <c r="C28" s="675"/>
      <c r="D28" s="675"/>
      <c r="E28" s="675"/>
      <c r="F28" s="675"/>
      <c r="G28" s="686" t="s">
        <v>445</v>
      </c>
    </row>
    <row r="29" spans="1:7" ht="13.5" customHeight="1">
      <c r="A29" s="673"/>
      <c r="B29" s="674"/>
      <c r="C29" s="675"/>
      <c r="D29" s="675"/>
      <c r="E29" s="675"/>
      <c r="F29" s="675"/>
      <c r="G29" s="686" t="s">
        <v>446</v>
      </c>
    </row>
    <row r="30" spans="1:7" ht="13.5" customHeight="1">
      <c r="A30" s="673"/>
      <c r="B30" s="674"/>
      <c r="C30" s="675"/>
      <c r="D30" s="675"/>
      <c r="E30" s="675"/>
      <c r="F30" s="675"/>
      <c r="G30" s="687" t="s">
        <v>720</v>
      </c>
    </row>
    <row r="31" spans="1:7" ht="13.5" customHeight="1">
      <c r="A31" s="673"/>
      <c r="B31" s="674"/>
      <c r="C31" s="675"/>
      <c r="D31" s="675"/>
      <c r="E31" s="675"/>
      <c r="F31" s="675"/>
      <c r="G31" s="686" t="s">
        <v>447</v>
      </c>
    </row>
    <row r="32" spans="1:7" ht="13.5" customHeight="1" thickBot="1">
      <c r="A32" s="673"/>
      <c r="B32" s="674"/>
      <c r="C32" s="675"/>
      <c r="D32" s="675"/>
      <c r="E32" s="675"/>
      <c r="F32" s="675"/>
      <c r="G32" s="688" t="s">
        <v>448</v>
      </c>
    </row>
    <row r="33" spans="1:8" ht="13.5" customHeight="1" thickBot="1">
      <c r="A33" s="673"/>
      <c r="B33" s="680" t="s">
        <v>449</v>
      </c>
      <c r="C33" s="681">
        <f>SUM(C11:C29)</f>
        <v>148950000</v>
      </c>
      <c r="D33" s="681">
        <f>SUM(D11:D29)</f>
        <v>148950000</v>
      </c>
      <c r="E33" s="681">
        <f>SUM(E11:E29)</f>
        <v>126609071.3</v>
      </c>
      <c r="F33" s="681">
        <f aca="true" t="shared" si="2" ref="F33:F44">E33/D33*100</f>
        <v>85.00105491775763</v>
      </c>
      <c r="G33" s="684"/>
      <c r="H33" s="682"/>
    </row>
    <row r="34" spans="1:7" ht="13.5" customHeight="1" thickBot="1">
      <c r="A34" s="673"/>
      <c r="B34" s="689" t="s">
        <v>450</v>
      </c>
      <c r="C34" s="690">
        <f>C10+C33</f>
        <v>1519545000</v>
      </c>
      <c r="D34" s="690">
        <f>D10+D33</f>
        <v>1329180137</v>
      </c>
      <c r="E34" s="690">
        <f>E10+E33</f>
        <v>1188615443.24</v>
      </c>
      <c r="F34" s="690">
        <f t="shared" si="2"/>
        <v>89.42470701696922</v>
      </c>
      <c r="G34" s="691"/>
    </row>
    <row r="35" spans="1:7" ht="13.5" customHeight="1">
      <c r="A35" s="673">
        <v>2111</v>
      </c>
      <c r="B35" s="674" t="s">
        <v>1043</v>
      </c>
      <c r="C35" s="675">
        <v>1340000</v>
      </c>
      <c r="D35" s="675">
        <v>1340000</v>
      </c>
      <c r="E35" s="675">
        <v>1437456</v>
      </c>
      <c r="F35" s="675">
        <f t="shared" si="2"/>
        <v>107.27283582089552</v>
      </c>
      <c r="G35" s="676" t="s">
        <v>1044</v>
      </c>
    </row>
    <row r="36" spans="1:7" ht="13.5" customHeight="1">
      <c r="A36" s="673">
        <v>2111</v>
      </c>
      <c r="B36" s="674" t="s">
        <v>1043</v>
      </c>
      <c r="C36" s="675">
        <v>1100000</v>
      </c>
      <c r="D36" s="675">
        <v>1100000</v>
      </c>
      <c r="E36" s="675">
        <v>1012740</v>
      </c>
      <c r="F36" s="675">
        <f t="shared" si="2"/>
        <v>92.06727272727274</v>
      </c>
      <c r="G36" s="676" t="s">
        <v>1045</v>
      </c>
    </row>
    <row r="37" spans="1:7" ht="13.5" customHeight="1">
      <c r="A37" s="673">
        <v>2111</v>
      </c>
      <c r="B37" s="674" t="s">
        <v>1043</v>
      </c>
      <c r="C37" s="675">
        <v>280000</v>
      </c>
      <c r="D37" s="675">
        <v>280000</v>
      </c>
      <c r="E37" s="675">
        <v>296138</v>
      </c>
      <c r="F37" s="675">
        <f t="shared" si="2"/>
        <v>105.76357142857142</v>
      </c>
      <c r="G37" s="676" t="s">
        <v>1046</v>
      </c>
    </row>
    <row r="38" spans="1:7" ht="13.5" customHeight="1">
      <c r="A38" s="673">
        <v>2111</v>
      </c>
      <c r="B38" s="674" t="s">
        <v>1043</v>
      </c>
      <c r="C38" s="675">
        <v>5000</v>
      </c>
      <c r="D38" s="675">
        <v>5000</v>
      </c>
      <c r="E38" s="675">
        <v>8713</v>
      </c>
      <c r="F38" s="675">
        <f t="shared" si="2"/>
        <v>174.26</v>
      </c>
      <c r="G38" s="676" t="s">
        <v>1047</v>
      </c>
    </row>
    <row r="39" spans="1:7" ht="13.5" customHeight="1">
      <c r="A39" s="673">
        <v>2111</v>
      </c>
      <c r="B39" s="674" t="s">
        <v>1043</v>
      </c>
      <c r="C39" s="675">
        <v>2000</v>
      </c>
      <c r="D39" s="675">
        <v>2000</v>
      </c>
      <c r="E39" s="675">
        <v>3895</v>
      </c>
      <c r="F39" s="675">
        <f t="shared" si="2"/>
        <v>194.75</v>
      </c>
      <c r="G39" s="676" t="s">
        <v>1048</v>
      </c>
    </row>
    <row r="40" spans="1:7" ht="13.5" customHeight="1">
      <c r="A40" s="673">
        <v>2111</v>
      </c>
      <c r="B40" s="674" t="s">
        <v>1043</v>
      </c>
      <c r="C40" s="675">
        <v>0</v>
      </c>
      <c r="D40" s="675">
        <v>0</v>
      </c>
      <c r="E40" s="675">
        <v>50000</v>
      </c>
      <c r="F40" s="675">
        <v>0</v>
      </c>
      <c r="G40" s="676" t="s">
        <v>1049</v>
      </c>
    </row>
    <row r="41" spans="1:7" ht="13.5" customHeight="1">
      <c r="A41" s="673">
        <v>2111</v>
      </c>
      <c r="B41" s="674" t="s">
        <v>1043</v>
      </c>
      <c r="C41" s="675">
        <v>0</v>
      </c>
      <c r="D41" s="675">
        <v>0</v>
      </c>
      <c r="E41" s="675">
        <v>5374</v>
      </c>
      <c r="F41" s="675">
        <v>0</v>
      </c>
      <c r="G41" s="676" t="s">
        <v>1050</v>
      </c>
    </row>
    <row r="42" spans="1:7" ht="13.5" customHeight="1">
      <c r="A42" s="673">
        <v>2111</v>
      </c>
      <c r="B42" s="674" t="s">
        <v>1043</v>
      </c>
      <c r="C42" s="675">
        <v>0</v>
      </c>
      <c r="D42" s="675">
        <v>0</v>
      </c>
      <c r="E42" s="675">
        <v>194</v>
      </c>
      <c r="F42" s="675">
        <v>0</v>
      </c>
      <c r="G42" s="676" t="s">
        <v>1051</v>
      </c>
    </row>
    <row r="43" spans="1:7" ht="13.5" customHeight="1">
      <c r="A43" s="673">
        <v>2111</v>
      </c>
      <c r="B43" s="674" t="s">
        <v>1043</v>
      </c>
      <c r="C43" s="675">
        <v>0</v>
      </c>
      <c r="D43" s="675">
        <v>0</v>
      </c>
      <c r="E43" s="675">
        <v>15500</v>
      </c>
      <c r="F43" s="675">
        <v>0</v>
      </c>
      <c r="G43" s="676" t="s">
        <v>1052</v>
      </c>
    </row>
    <row r="44" spans="1:7" ht="13.5" customHeight="1">
      <c r="A44" s="673">
        <v>2111</v>
      </c>
      <c r="B44" s="674" t="s">
        <v>1043</v>
      </c>
      <c r="C44" s="675">
        <v>0</v>
      </c>
      <c r="D44" s="675">
        <v>96500</v>
      </c>
      <c r="E44" s="675">
        <v>96500</v>
      </c>
      <c r="F44" s="675">
        <f t="shared" si="2"/>
        <v>100</v>
      </c>
      <c r="G44" s="676" t="s">
        <v>1053</v>
      </c>
    </row>
    <row r="45" spans="1:7" ht="13.5" customHeight="1">
      <c r="A45" s="673">
        <v>2111</v>
      </c>
      <c r="B45" s="674" t="s">
        <v>1043</v>
      </c>
      <c r="C45" s="675">
        <v>0</v>
      </c>
      <c r="D45" s="675">
        <v>83895</v>
      </c>
      <c r="E45" s="675">
        <v>88423</v>
      </c>
      <c r="F45" s="675">
        <f>E45/D45*100</f>
        <v>105.3972227188748</v>
      </c>
      <c r="G45" s="684" t="s">
        <v>683</v>
      </c>
    </row>
    <row r="46" spans="1:7" ht="13.5" customHeight="1">
      <c r="A46" s="673"/>
      <c r="B46" s="674"/>
      <c r="C46" s="675"/>
      <c r="D46" s="675"/>
      <c r="E46" s="675"/>
      <c r="F46" s="675"/>
      <c r="G46" s="676" t="s">
        <v>1054</v>
      </c>
    </row>
    <row r="47" spans="1:7" ht="13.5" customHeight="1">
      <c r="A47" s="673">
        <v>2111</v>
      </c>
      <c r="B47" s="674" t="s">
        <v>1043</v>
      </c>
      <c r="C47" s="675">
        <v>0</v>
      </c>
      <c r="D47" s="675">
        <v>2748694</v>
      </c>
      <c r="E47" s="675">
        <v>2748694</v>
      </c>
      <c r="F47" s="675">
        <f>E47/D47*100</f>
        <v>100</v>
      </c>
      <c r="G47" s="676" t="s">
        <v>1055</v>
      </c>
    </row>
    <row r="48" spans="1:7" ht="13.5" customHeight="1">
      <c r="A48" s="673"/>
      <c r="B48" s="674"/>
      <c r="C48" s="675"/>
      <c r="D48" s="675"/>
      <c r="E48" s="675"/>
      <c r="F48" s="675"/>
      <c r="G48" s="676" t="s">
        <v>1056</v>
      </c>
    </row>
    <row r="49" spans="1:7" ht="13.5" customHeight="1">
      <c r="A49" s="673">
        <v>2111</v>
      </c>
      <c r="B49" s="674" t="s">
        <v>1043</v>
      </c>
      <c r="C49" s="675">
        <v>0</v>
      </c>
      <c r="D49" s="675">
        <v>37000</v>
      </c>
      <c r="E49" s="675">
        <v>31092.58</v>
      </c>
      <c r="F49" s="675">
        <f>E49/D49*100</f>
        <v>84.034</v>
      </c>
      <c r="G49" s="676" t="s">
        <v>1057</v>
      </c>
    </row>
    <row r="50" spans="1:7" ht="13.5" customHeight="1">
      <c r="A50" s="673">
        <v>2111</v>
      </c>
      <c r="B50" s="674" t="s">
        <v>1043</v>
      </c>
      <c r="C50" s="675">
        <v>0</v>
      </c>
      <c r="D50" s="675">
        <v>0</v>
      </c>
      <c r="E50" s="675">
        <v>116</v>
      </c>
      <c r="F50" s="675">
        <v>0</v>
      </c>
      <c r="G50" s="684" t="s">
        <v>721</v>
      </c>
    </row>
    <row r="51" spans="1:7" ht="13.5" customHeight="1">
      <c r="A51" s="673">
        <v>2112</v>
      </c>
      <c r="B51" s="674" t="s">
        <v>1058</v>
      </c>
      <c r="C51" s="675">
        <v>10000</v>
      </c>
      <c r="D51" s="675">
        <v>10000</v>
      </c>
      <c r="E51" s="675">
        <v>8241</v>
      </c>
      <c r="F51" s="675">
        <f>E51/D51*100</f>
        <v>82.41000000000001</v>
      </c>
      <c r="G51" s="676" t="s">
        <v>1059</v>
      </c>
    </row>
    <row r="52" spans="1:7" ht="13.5" customHeight="1">
      <c r="A52" s="673">
        <v>2122</v>
      </c>
      <c r="B52" s="674" t="s">
        <v>1060</v>
      </c>
      <c r="C52" s="675">
        <v>0</v>
      </c>
      <c r="D52" s="675">
        <v>21212800</v>
      </c>
      <c r="E52" s="675">
        <v>21212800</v>
      </c>
      <c r="F52" s="675">
        <f>E52/D52*100</f>
        <v>100</v>
      </c>
      <c r="G52" s="676" t="s">
        <v>1061</v>
      </c>
    </row>
    <row r="53" spans="1:7" ht="13.5" customHeight="1">
      <c r="A53" s="673"/>
      <c r="B53" s="674"/>
      <c r="C53" s="675"/>
      <c r="D53" s="675"/>
      <c r="E53" s="675"/>
      <c r="F53" s="675"/>
      <c r="G53" s="676" t="s">
        <v>1062</v>
      </c>
    </row>
    <row r="54" spans="1:7" ht="13.5" customHeight="1">
      <c r="A54" s="673"/>
      <c r="B54" s="674"/>
      <c r="C54" s="675"/>
      <c r="D54" s="675"/>
      <c r="E54" s="675"/>
      <c r="F54" s="675"/>
      <c r="G54" s="676" t="s">
        <v>1063</v>
      </c>
    </row>
    <row r="55" spans="1:7" ht="13.5" customHeight="1">
      <c r="A55" s="673">
        <v>2141</v>
      </c>
      <c r="B55" s="674" t="s">
        <v>1064</v>
      </c>
      <c r="C55" s="675">
        <v>6000000</v>
      </c>
      <c r="D55" s="675">
        <v>6000000</v>
      </c>
      <c r="E55" s="675">
        <v>6274310.29</v>
      </c>
      <c r="F55" s="675">
        <f>E55/D55*100</f>
        <v>104.57183816666667</v>
      </c>
      <c r="G55" s="692"/>
    </row>
    <row r="56" spans="1:7" ht="13.5" customHeight="1">
      <c r="A56" s="673">
        <v>2142</v>
      </c>
      <c r="B56" s="674" t="s">
        <v>1065</v>
      </c>
      <c r="C56" s="675">
        <v>0</v>
      </c>
      <c r="D56" s="675">
        <v>0</v>
      </c>
      <c r="E56" s="675">
        <v>3400532</v>
      </c>
      <c r="F56" s="675">
        <v>0</v>
      </c>
      <c r="G56" s="692" t="s">
        <v>722</v>
      </c>
    </row>
    <row r="57" spans="1:7" ht="13.5" customHeight="1">
      <c r="A57" s="673">
        <v>2143</v>
      </c>
      <c r="B57" s="674" t="s">
        <v>1066</v>
      </c>
      <c r="C57" s="675">
        <v>0</v>
      </c>
      <c r="D57" s="675">
        <v>0</v>
      </c>
      <c r="E57" s="675">
        <v>355.04</v>
      </c>
      <c r="F57" s="675"/>
      <c r="G57" s="693"/>
    </row>
    <row r="58" spans="1:7" s="694" customFormat="1" ht="13.5" customHeight="1">
      <c r="A58" s="673">
        <v>2210</v>
      </c>
      <c r="B58" s="674" t="s">
        <v>1067</v>
      </c>
      <c r="C58" s="675"/>
      <c r="D58" s="675">
        <v>17188</v>
      </c>
      <c r="E58" s="675">
        <v>17188</v>
      </c>
      <c r="F58" s="675">
        <f aca="true" t="shared" si="3" ref="F58:F63">E58/D58*100</f>
        <v>100</v>
      </c>
      <c r="G58" s="676" t="s">
        <v>1068</v>
      </c>
    </row>
    <row r="59" spans="1:7" s="694" customFormat="1" ht="13.5" customHeight="1">
      <c r="A59" s="673">
        <v>2210</v>
      </c>
      <c r="B59" s="674" t="s">
        <v>1067</v>
      </c>
      <c r="C59" s="675">
        <v>1000000</v>
      </c>
      <c r="D59" s="675">
        <v>1000000</v>
      </c>
      <c r="E59" s="675">
        <v>1126678.22</v>
      </c>
      <c r="F59" s="675">
        <f t="shared" si="3"/>
        <v>112.667822</v>
      </c>
      <c r="G59" s="676" t="s">
        <v>472</v>
      </c>
    </row>
    <row r="60" spans="1:7" s="694" customFormat="1" ht="13.5" customHeight="1">
      <c r="A60" s="673">
        <v>2210</v>
      </c>
      <c r="B60" s="674" t="s">
        <v>1067</v>
      </c>
      <c r="C60" s="675">
        <v>6000000</v>
      </c>
      <c r="D60" s="675">
        <v>6000000</v>
      </c>
      <c r="E60" s="675">
        <v>5381550</v>
      </c>
      <c r="F60" s="675">
        <f t="shared" si="3"/>
        <v>89.6925</v>
      </c>
      <c r="G60" s="676" t="s">
        <v>473</v>
      </c>
    </row>
    <row r="61" spans="1:7" s="694" customFormat="1" ht="13.5" customHeight="1">
      <c r="A61" s="673">
        <v>2210</v>
      </c>
      <c r="B61" s="674" t="s">
        <v>1067</v>
      </c>
      <c r="C61" s="675">
        <v>4500000</v>
      </c>
      <c r="D61" s="675">
        <v>4500000</v>
      </c>
      <c r="E61" s="675">
        <v>4110444</v>
      </c>
      <c r="F61" s="675">
        <f t="shared" si="3"/>
        <v>91.3432</v>
      </c>
      <c r="G61" s="676" t="s">
        <v>474</v>
      </c>
    </row>
    <row r="62" spans="1:7" s="694" customFormat="1" ht="13.5" customHeight="1">
      <c r="A62" s="673">
        <v>2210</v>
      </c>
      <c r="B62" s="674" t="s">
        <v>1067</v>
      </c>
      <c r="C62" s="675">
        <v>200000</v>
      </c>
      <c r="D62" s="675">
        <v>200000</v>
      </c>
      <c r="E62" s="675">
        <v>203600</v>
      </c>
      <c r="F62" s="675">
        <f t="shared" si="3"/>
        <v>101.8</v>
      </c>
      <c r="G62" s="676" t="s">
        <v>475</v>
      </c>
    </row>
    <row r="63" spans="1:7" s="694" customFormat="1" ht="13.5" customHeight="1">
      <c r="A63" s="673">
        <v>2210</v>
      </c>
      <c r="B63" s="674" t="s">
        <v>1067</v>
      </c>
      <c r="C63" s="675">
        <v>1500000</v>
      </c>
      <c r="D63" s="675">
        <v>1500000</v>
      </c>
      <c r="E63" s="675">
        <v>1404592.5</v>
      </c>
      <c r="F63" s="675">
        <f t="shared" si="3"/>
        <v>93.6395</v>
      </c>
      <c r="G63" s="676" t="s">
        <v>476</v>
      </c>
    </row>
    <row r="64" spans="1:7" s="694" customFormat="1" ht="13.5" customHeight="1">
      <c r="A64" s="673">
        <v>2222</v>
      </c>
      <c r="B64" s="674" t="s">
        <v>1069</v>
      </c>
      <c r="C64" s="675">
        <v>0</v>
      </c>
      <c r="D64" s="675">
        <v>0</v>
      </c>
      <c r="E64" s="675">
        <v>8877801.91</v>
      </c>
      <c r="F64" s="675">
        <v>0</v>
      </c>
      <c r="G64" s="676" t="s">
        <v>1070</v>
      </c>
    </row>
    <row r="65" spans="1:7" s="694" customFormat="1" ht="13.5" customHeight="1">
      <c r="A65" s="673">
        <v>2222</v>
      </c>
      <c r="B65" s="674" t="s">
        <v>1069</v>
      </c>
      <c r="C65" s="675">
        <v>0</v>
      </c>
      <c r="D65" s="675">
        <v>1412797.07</v>
      </c>
      <c r="E65" s="675">
        <v>1412797.07</v>
      </c>
      <c r="F65" s="675">
        <f>E65/D65*100</f>
        <v>100</v>
      </c>
      <c r="G65" s="676" t="s">
        <v>1071</v>
      </c>
    </row>
    <row r="66" spans="1:7" s="694" customFormat="1" ht="13.5" customHeight="1">
      <c r="A66" s="673">
        <v>2229</v>
      </c>
      <c r="B66" s="674" t="s">
        <v>1072</v>
      </c>
      <c r="C66" s="675">
        <v>0</v>
      </c>
      <c r="D66" s="675">
        <v>0</v>
      </c>
      <c r="E66" s="675">
        <v>4654.06</v>
      </c>
      <c r="F66" s="675">
        <v>0</v>
      </c>
      <c r="G66" s="676" t="s">
        <v>1073</v>
      </c>
    </row>
    <row r="67" spans="1:7" s="694" customFormat="1" ht="13.5" customHeight="1">
      <c r="A67" s="673">
        <v>2229</v>
      </c>
      <c r="B67" s="674" t="s">
        <v>1072</v>
      </c>
      <c r="C67" s="675">
        <v>0</v>
      </c>
      <c r="D67" s="675">
        <v>0</v>
      </c>
      <c r="E67" s="675">
        <v>24467.51</v>
      </c>
      <c r="F67" s="675">
        <v>0</v>
      </c>
      <c r="G67" s="676" t="s">
        <v>1074</v>
      </c>
    </row>
    <row r="68" spans="1:7" s="694" customFormat="1" ht="13.5" customHeight="1">
      <c r="A68" s="673">
        <v>2310</v>
      </c>
      <c r="B68" s="674" t="s">
        <v>1075</v>
      </c>
      <c r="C68" s="675">
        <v>0</v>
      </c>
      <c r="D68" s="675">
        <v>14961</v>
      </c>
      <c r="E68" s="675">
        <v>14961</v>
      </c>
      <c r="F68" s="675">
        <f>E68/D68*100</f>
        <v>100</v>
      </c>
      <c r="G68" s="676" t="s">
        <v>1076</v>
      </c>
    </row>
    <row r="69" spans="1:7" s="694" customFormat="1" ht="13.5" customHeight="1">
      <c r="A69" s="673">
        <v>2321</v>
      </c>
      <c r="B69" s="674" t="s">
        <v>1077</v>
      </c>
      <c r="C69" s="675">
        <v>0</v>
      </c>
      <c r="D69" s="675">
        <v>168000</v>
      </c>
      <c r="E69" s="675">
        <v>168000</v>
      </c>
      <c r="F69" s="675">
        <f>E69/D69*100</f>
        <v>100</v>
      </c>
      <c r="G69" s="676" t="s">
        <v>1078</v>
      </c>
    </row>
    <row r="70" spans="1:7" s="694" customFormat="1" ht="13.5" customHeight="1">
      <c r="A70" s="673"/>
      <c r="B70" s="674"/>
      <c r="C70" s="675"/>
      <c r="D70" s="675"/>
      <c r="E70" s="675"/>
      <c r="F70" s="675"/>
      <c r="G70" s="676" t="s">
        <v>482</v>
      </c>
    </row>
    <row r="71" spans="1:7" s="694" customFormat="1" ht="13.5" customHeight="1">
      <c r="A71" s="673"/>
      <c r="B71" s="674"/>
      <c r="C71" s="675"/>
      <c r="D71" s="675"/>
      <c r="E71" s="675"/>
      <c r="F71" s="675"/>
      <c r="G71" s="676" t="s">
        <v>483</v>
      </c>
    </row>
    <row r="72" spans="1:7" s="694" customFormat="1" ht="13.5" customHeight="1">
      <c r="A72" s="673"/>
      <c r="B72" s="674"/>
      <c r="C72" s="675"/>
      <c r="D72" s="675"/>
      <c r="E72" s="675"/>
      <c r="F72" s="675"/>
      <c r="G72" s="676" t="s">
        <v>78</v>
      </c>
    </row>
    <row r="73" spans="1:7" s="694" customFormat="1" ht="13.5" customHeight="1">
      <c r="A73" s="673">
        <v>2322</v>
      </c>
      <c r="B73" s="674" t="s">
        <v>79</v>
      </c>
      <c r="C73" s="675">
        <v>0</v>
      </c>
      <c r="D73" s="675">
        <v>969302</v>
      </c>
      <c r="E73" s="675">
        <v>1319715</v>
      </c>
      <c r="F73" s="675">
        <f>E73/D73*100</f>
        <v>136.15106540582812</v>
      </c>
      <c r="G73" s="676"/>
    </row>
    <row r="74" spans="1:7" s="694" customFormat="1" ht="13.5" customHeight="1">
      <c r="A74" s="673">
        <v>2324</v>
      </c>
      <c r="B74" s="674" t="s">
        <v>80</v>
      </c>
      <c r="C74" s="675">
        <v>0</v>
      </c>
      <c r="D74" s="675">
        <v>0</v>
      </c>
      <c r="E74" s="675">
        <v>3239</v>
      </c>
      <c r="F74" s="675">
        <v>0</v>
      </c>
      <c r="G74" s="676" t="s">
        <v>81</v>
      </c>
    </row>
    <row r="75" spans="1:7" ht="13.5" customHeight="1">
      <c r="A75" s="673">
        <v>2324</v>
      </c>
      <c r="B75" s="674" t="s">
        <v>80</v>
      </c>
      <c r="C75" s="675">
        <v>10000</v>
      </c>
      <c r="D75" s="675">
        <v>10000</v>
      </c>
      <c r="E75" s="675">
        <v>10000</v>
      </c>
      <c r="F75" s="675">
        <f>E75/D75*100</f>
        <v>100</v>
      </c>
      <c r="G75" s="676" t="s">
        <v>82</v>
      </c>
    </row>
    <row r="76" spans="1:7" ht="13.5" customHeight="1">
      <c r="A76" s="673">
        <v>2324</v>
      </c>
      <c r="B76" s="674" t="s">
        <v>80</v>
      </c>
      <c r="C76" s="675">
        <v>5475000</v>
      </c>
      <c r="D76" s="675">
        <v>5475000</v>
      </c>
      <c r="E76" s="675">
        <v>5436269</v>
      </c>
      <c r="F76" s="675">
        <f>E76/D76*100</f>
        <v>99.29258447488584</v>
      </c>
      <c r="G76" s="676" t="s">
        <v>83</v>
      </c>
    </row>
    <row r="77" spans="1:7" ht="13.5" customHeight="1">
      <c r="A77" s="673">
        <v>2324</v>
      </c>
      <c r="B77" s="674" t="s">
        <v>80</v>
      </c>
      <c r="C77" s="675">
        <v>0</v>
      </c>
      <c r="D77" s="675">
        <v>146681</v>
      </c>
      <c r="E77" s="675">
        <v>146681</v>
      </c>
      <c r="F77" s="675">
        <f>E77/D77*100</f>
        <v>100</v>
      </c>
      <c r="G77" s="676" t="s">
        <v>905</v>
      </c>
    </row>
    <row r="78" spans="1:7" ht="13.5" customHeight="1">
      <c r="A78" s="673">
        <v>2324</v>
      </c>
      <c r="B78" s="674" t="s">
        <v>80</v>
      </c>
      <c r="C78" s="675">
        <v>3000000</v>
      </c>
      <c r="D78" s="675">
        <v>3225392</v>
      </c>
      <c r="E78" s="675">
        <v>6595382.69</v>
      </c>
      <c r="F78" s="675">
        <f>E78/D78*100</f>
        <v>204.48313538323407</v>
      </c>
      <c r="G78" s="676" t="s">
        <v>571</v>
      </c>
    </row>
    <row r="79" spans="1:7" ht="13.5" customHeight="1">
      <c r="A79" s="673"/>
      <c r="B79" s="674"/>
      <c r="C79" s="675"/>
      <c r="D79" s="675"/>
      <c r="E79" s="675"/>
      <c r="F79" s="675"/>
      <c r="G79" s="676" t="s">
        <v>572</v>
      </c>
    </row>
    <row r="80" spans="1:7" ht="13.5" customHeight="1">
      <c r="A80" s="673">
        <v>2324</v>
      </c>
      <c r="B80" s="674" t="s">
        <v>80</v>
      </c>
      <c r="C80" s="675">
        <v>100000</v>
      </c>
      <c r="D80" s="675">
        <v>100000</v>
      </c>
      <c r="E80" s="675">
        <v>158500</v>
      </c>
      <c r="F80" s="675">
        <f>E80/D80*100</f>
        <v>158.5</v>
      </c>
      <c r="G80" s="676" t="s">
        <v>573</v>
      </c>
    </row>
    <row r="81" spans="1:7" ht="13.5" customHeight="1">
      <c r="A81" s="673">
        <v>2324</v>
      </c>
      <c r="B81" s="674" t="s">
        <v>80</v>
      </c>
      <c r="C81" s="675">
        <v>0</v>
      </c>
      <c r="D81" s="675">
        <v>591156.69</v>
      </c>
      <c r="E81" s="675">
        <v>591156.69</v>
      </c>
      <c r="F81" s="675">
        <f>E81/D81*100</f>
        <v>100</v>
      </c>
      <c r="G81" s="676" t="s">
        <v>574</v>
      </c>
    </row>
    <row r="82" spans="1:7" ht="13.5" customHeight="1">
      <c r="A82" s="673">
        <v>2328</v>
      </c>
      <c r="B82" s="674" t="s">
        <v>575</v>
      </c>
      <c r="C82" s="675">
        <v>0</v>
      </c>
      <c r="D82" s="675">
        <v>0</v>
      </c>
      <c r="E82" s="675">
        <v>7600</v>
      </c>
      <c r="F82" s="675">
        <v>0</v>
      </c>
      <c r="G82" s="676" t="s">
        <v>576</v>
      </c>
    </row>
    <row r="83" spans="1:7" ht="13.5" customHeight="1">
      <c r="A83" s="673">
        <v>2329</v>
      </c>
      <c r="B83" s="674" t="s">
        <v>577</v>
      </c>
      <c r="C83" s="675">
        <v>80000</v>
      </c>
      <c r="D83" s="675">
        <v>80000</v>
      </c>
      <c r="E83" s="675">
        <v>52978.51</v>
      </c>
      <c r="F83" s="675">
        <f>E83/D83*100</f>
        <v>66.2231375</v>
      </c>
      <c r="G83" s="676" t="s">
        <v>617</v>
      </c>
    </row>
    <row r="84" spans="1:7" ht="13.5" customHeight="1">
      <c r="A84" s="673">
        <v>2329</v>
      </c>
      <c r="B84" s="674" t="s">
        <v>577</v>
      </c>
      <c r="C84" s="675">
        <v>0</v>
      </c>
      <c r="D84" s="675">
        <v>0</v>
      </c>
      <c r="E84" s="675">
        <v>1785</v>
      </c>
      <c r="F84" s="675">
        <v>0</v>
      </c>
      <c r="G84" s="684" t="s">
        <v>723</v>
      </c>
    </row>
    <row r="85" spans="1:7" ht="13.5" customHeight="1">
      <c r="A85" s="673">
        <v>2329</v>
      </c>
      <c r="B85" s="674" t="s">
        <v>577</v>
      </c>
      <c r="C85" s="675">
        <v>0</v>
      </c>
      <c r="D85" s="675">
        <v>0</v>
      </c>
      <c r="E85" s="675">
        <v>2776</v>
      </c>
      <c r="F85" s="675">
        <v>0</v>
      </c>
      <c r="G85" s="684" t="s">
        <v>724</v>
      </c>
    </row>
    <row r="86" spans="1:7" ht="13.5" customHeight="1">
      <c r="A86" s="673">
        <v>2343</v>
      </c>
      <c r="B86" s="674" t="s">
        <v>618</v>
      </c>
      <c r="C86" s="675">
        <v>1000</v>
      </c>
      <c r="D86" s="675">
        <v>1000</v>
      </c>
      <c r="E86" s="675">
        <v>1400</v>
      </c>
      <c r="F86" s="675">
        <f>E86/D86*100</f>
        <v>140</v>
      </c>
      <c r="G86" s="676"/>
    </row>
    <row r="87" spans="1:7" ht="13.5" customHeight="1">
      <c r="A87" s="673">
        <v>2460</v>
      </c>
      <c r="B87" s="674" t="s">
        <v>619</v>
      </c>
      <c r="C87" s="675">
        <v>23106000</v>
      </c>
      <c r="D87" s="675">
        <v>23106000</v>
      </c>
      <c r="E87" s="675">
        <v>18421628.43</v>
      </c>
      <c r="F87" s="675">
        <f>E87/D87*100</f>
        <v>79.72660101272396</v>
      </c>
      <c r="G87" s="679" t="s">
        <v>620</v>
      </c>
    </row>
    <row r="88" spans="1:7" ht="13.5" customHeight="1" thickBot="1">
      <c r="A88" s="673">
        <v>2460</v>
      </c>
      <c r="B88" s="674" t="s">
        <v>619</v>
      </c>
      <c r="C88" s="675">
        <v>0</v>
      </c>
      <c r="D88" s="675">
        <v>0</v>
      </c>
      <c r="E88" s="675">
        <v>332100</v>
      </c>
      <c r="F88" s="675">
        <v>0</v>
      </c>
      <c r="G88" s="679" t="s">
        <v>621</v>
      </c>
    </row>
    <row r="89" spans="1:8" ht="13.5" customHeight="1" thickBot="1">
      <c r="A89" s="673"/>
      <c r="B89" s="689" t="s">
        <v>622</v>
      </c>
      <c r="C89" s="690">
        <f>SUM(C35:C88)</f>
        <v>53709000</v>
      </c>
      <c r="D89" s="690">
        <f>SUM(D35:D88)</f>
        <v>81433366.75999999</v>
      </c>
      <c r="E89" s="690">
        <f>SUM(E35:E88)</f>
        <v>92519019.5</v>
      </c>
      <c r="F89" s="690">
        <f>E89/D89*100</f>
        <v>113.61315782592114</v>
      </c>
      <c r="G89" s="676"/>
      <c r="H89" s="682"/>
    </row>
    <row r="90" spans="1:8" ht="13.5" customHeight="1">
      <c r="A90" s="673">
        <v>3113</v>
      </c>
      <c r="B90" s="674" t="s">
        <v>623</v>
      </c>
      <c r="C90" s="695">
        <v>0</v>
      </c>
      <c r="D90" s="675">
        <v>0</v>
      </c>
      <c r="E90" s="675">
        <v>211255</v>
      </c>
      <c r="F90" s="695">
        <v>0</v>
      </c>
      <c r="G90" s="676" t="s">
        <v>624</v>
      </c>
      <c r="H90" s="682"/>
    </row>
    <row r="91" spans="1:8" ht="13.5" customHeight="1" thickBot="1">
      <c r="A91" s="673">
        <v>3121</v>
      </c>
      <c r="B91" s="674" t="s">
        <v>625</v>
      </c>
      <c r="C91" s="695">
        <v>0</v>
      </c>
      <c r="D91" s="675">
        <v>46000</v>
      </c>
      <c r="E91" s="675">
        <v>46000</v>
      </c>
      <c r="F91" s="695">
        <f>E91/D91*100</f>
        <v>100</v>
      </c>
      <c r="G91" s="676" t="s">
        <v>626</v>
      </c>
      <c r="H91" s="682"/>
    </row>
    <row r="92" spans="1:8" ht="13.5" customHeight="1" thickBot="1">
      <c r="A92" s="673"/>
      <c r="B92" s="689" t="s">
        <v>627</v>
      </c>
      <c r="C92" s="690">
        <f>C90+C91</f>
        <v>0</v>
      </c>
      <c r="D92" s="690">
        <f>D90+D91</f>
        <v>46000</v>
      </c>
      <c r="E92" s="690">
        <f>E90+E91</f>
        <v>257255</v>
      </c>
      <c r="F92" s="690">
        <v>0</v>
      </c>
      <c r="G92" s="676"/>
      <c r="H92" s="682"/>
    </row>
    <row r="93" spans="1:8" ht="13.5" customHeight="1">
      <c r="A93" s="673">
        <v>4111</v>
      </c>
      <c r="B93" s="674" t="s">
        <v>628</v>
      </c>
      <c r="C93" s="675">
        <v>0</v>
      </c>
      <c r="D93" s="675">
        <v>2414192</v>
      </c>
      <c r="E93" s="675">
        <v>2414192</v>
      </c>
      <c r="F93" s="675">
        <f aca="true" t="shared" si="4" ref="F93:F117">E93/D93*100</f>
        <v>100</v>
      </c>
      <c r="G93" s="684" t="s">
        <v>725</v>
      </c>
      <c r="H93" s="682"/>
    </row>
    <row r="94" spans="1:8" ht="13.5" customHeight="1">
      <c r="A94" s="673">
        <v>4111</v>
      </c>
      <c r="B94" s="674" t="s">
        <v>628</v>
      </c>
      <c r="C94" s="675">
        <v>0</v>
      </c>
      <c r="D94" s="675">
        <v>10996062</v>
      </c>
      <c r="E94" s="675">
        <v>10996062</v>
      </c>
      <c r="F94" s="675">
        <f t="shared" si="4"/>
        <v>100</v>
      </c>
      <c r="G94" s="684" t="s">
        <v>726</v>
      </c>
      <c r="H94" s="682"/>
    </row>
    <row r="95" spans="1:8" ht="13.5" customHeight="1">
      <c r="A95" s="673">
        <v>4111</v>
      </c>
      <c r="B95" s="674" t="s">
        <v>628</v>
      </c>
      <c r="C95" s="675">
        <v>0</v>
      </c>
      <c r="D95" s="675">
        <v>2217000</v>
      </c>
      <c r="E95" s="675">
        <v>2217000</v>
      </c>
      <c r="F95" s="675">
        <f t="shared" si="4"/>
        <v>100</v>
      </c>
      <c r="G95" s="684" t="s">
        <v>727</v>
      </c>
      <c r="H95" s="682"/>
    </row>
    <row r="96" spans="1:8" ht="13.5" customHeight="1">
      <c r="A96" s="673">
        <v>4111</v>
      </c>
      <c r="B96" s="674" t="s">
        <v>628</v>
      </c>
      <c r="C96" s="675">
        <v>0</v>
      </c>
      <c r="D96" s="675">
        <v>803108.5</v>
      </c>
      <c r="E96" s="675">
        <v>803108.5</v>
      </c>
      <c r="F96" s="675">
        <f t="shared" si="4"/>
        <v>100</v>
      </c>
      <c r="G96" s="684" t="s">
        <v>728</v>
      </c>
      <c r="H96" s="682"/>
    </row>
    <row r="97" spans="1:7" ht="13.5" customHeight="1">
      <c r="A97" s="673">
        <v>4112</v>
      </c>
      <c r="B97" s="674" t="s">
        <v>629</v>
      </c>
      <c r="C97" s="675">
        <v>121750100</v>
      </c>
      <c r="D97" s="675">
        <v>121750100</v>
      </c>
      <c r="E97" s="675">
        <v>121750100</v>
      </c>
      <c r="F97" s="675">
        <f t="shared" si="4"/>
        <v>100</v>
      </c>
      <c r="G97" s="679" t="s">
        <v>630</v>
      </c>
    </row>
    <row r="98" spans="1:7" ht="13.5" customHeight="1">
      <c r="A98" s="673">
        <v>4113</v>
      </c>
      <c r="B98" s="674" t="s">
        <v>631</v>
      </c>
      <c r="C98" s="675">
        <v>0</v>
      </c>
      <c r="D98" s="675">
        <v>451000</v>
      </c>
      <c r="E98" s="675">
        <v>450547.2</v>
      </c>
      <c r="F98" s="675">
        <f t="shared" si="4"/>
        <v>99.89960088691797</v>
      </c>
      <c r="G98" s="684" t="s">
        <v>265</v>
      </c>
    </row>
    <row r="99" spans="1:7" ht="13.5" customHeight="1">
      <c r="A99" s="673"/>
      <c r="B99" s="674"/>
      <c r="C99" s="675"/>
      <c r="D99" s="675"/>
      <c r="E99" s="675"/>
      <c r="F99" s="675"/>
      <c r="G99" s="676" t="s">
        <v>632</v>
      </c>
    </row>
    <row r="100" spans="1:7" ht="13.5" customHeight="1">
      <c r="A100" s="673">
        <v>4116</v>
      </c>
      <c r="B100" s="674" t="s">
        <v>906</v>
      </c>
      <c r="C100" s="675">
        <v>0</v>
      </c>
      <c r="D100" s="675">
        <v>59000000</v>
      </c>
      <c r="E100" s="675">
        <v>58500000</v>
      </c>
      <c r="F100" s="675">
        <f t="shared" si="4"/>
        <v>99.15254237288136</v>
      </c>
      <c r="G100" s="685" t="s">
        <v>266</v>
      </c>
    </row>
    <row r="101" spans="1:7" ht="13.5" customHeight="1">
      <c r="A101" s="673"/>
      <c r="B101" s="674"/>
      <c r="C101" s="675"/>
      <c r="D101" s="675"/>
      <c r="E101" s="675"/>
      <c r="F101" s="675"/>
      <c r="G101" s="679" t="s">
        <v>907</v>
      </c>
    </row>
    <row r="102" spans="1:7" ht="13.5" customHeight="1">
      <c r="A102" s="673">
        <v>4116</v>
      </c>
      <c r="B102" s="674" t="s">
        <v>906</v>
      </c>
      <c r="C102" s="675">
        <v>0</v>
      </c>
      <c r="D102" s="675">
        <v>189909000</v>
      </c>
      <c r="E102" s="675">
        <v>189909000</v>
      </c>
      <c r="F102" s="675">
        <f t="shared" si="4"/>
        <v>100</v>
      </c>
      <c r="G102" s="685" t="s">
        <v>267</v>
      </c>
    </row>
    <row r="103" spans="1:7" ht="13.5" customHeight="1">
      <c r="A103" s="673">
        <v>4116</v>
      </c>
      <c r="B103" s="674" t="s">
        <v>906</v>
      </c>
      <c r="C103" s="675">
        <v>0</v>
      </c>
      <c r="D103" s="675">
        <v>95652</v>
      </c>
      <c r="E103" s="675">
        <v>95652</v>
      </c>
      <c r="F103" s="675">
        <f t="shared" si="4"/>
        <v>100</v>
      </c>
      <c r="G103" s="685" t="s">
        <v>268</v>
      </c>
    </row>
    <row r="104" spans="1:7" ht="13.5" customHeight="1">
      <c r="A104" s="673">
        <v>4116</v>
      </c>
      <c r="B104" s="674" t="s">
        <v>906</v>
      </c>
      <c r="C104" s="675">
        <v>0</v>
      </c>
      <c r="D104" s="675">
        <v>542035</v>
      </c>
      <c r="E104" s="675">
        <v>542035</v>
      </c>
      <c r="F104" s="675">
        <f t="shared" si="4"/>
        <v>100</v>
      </c>
      <c r="G104" s="685" t="s">
        <v>269</v>
      </c>
    </row>
    <row r="105" spans="1:7" ht="13.5" customHeight="1">
      <c r="A105" s="673">
        <v>4116</v>
      </c>
      <c r="B105" s="674" t="s">
        <v>906</v>
      </c>
      <c r="C105" s="675">
        <v>0</v>
      </c>
      <c r="D105" s="675">
        <v>20825</v>
      </c>
      <c r="E105" s="675">
        <v>20825</v>
      </c>
      <c r="F105" s="675">
        <f t="shared" si="4"/>
        <v>100</v>
      </c>
      <c r="G105" s="684" t="s">
        <v>270</v>
      </c>
    </row>
    <row r="106" spans="1:7" ht="13.5" customHeight="1">
      <c r="A106" s="673">
        <v>4116</v>
      </c>
      <c r="B106" s="674" t="s">
        <v>906</v>
      </c>
      <c r="C106" s="675">
        <v>0</v>
      </c>
      <c r="D106" s="675">
        <v>1116000</v>
      </c>
      <c r="E106" s="675">
        <v>845600</v>
      </c>
      <c r="F106" s="675">
        <f t="shared" si="4"/>
        <v>75.77060931899642</v>
      </c>
      <c r="G106" s="684" t="s">
        <v>271</v>
      </c>
    </row>
    <row r="107" spans="1:7" ht="13.5" customHeight="1">
      <c r="A107" s="673">
        <v>4116</v>
      </c>
      <c r="B107" s="674" t="s">
        <v>906</v>
      </c>
      <c r="C107" s="675">
        <v>0</v>
      </c>
      <c r="D107" s="675">
        <v>29350</v>
      </c>
      <c r="E107" s="675">
        <v>29350</v>
      </c>
      <c r="F107" s="675">
        <f t="shared" si="4"/>
        <v>100</v>
      </c>
      <c r="G107" s="685" t="s">
        <v>272</v>
      </c>
    </row>
    <row r="108" spans="1:7" ht="13.5" customHeight="1">
      <c r="A108" s="673">
        <v>4116</v>
      </c>
      <c r="B108" s="674" t="s">
        <v>906</v>
      </c>
      <c r="C108" s="675">
        <v>0</v>
      </c>
      <c r="D108" s="675">
        <v>598731</v>
      </c>
      <c r="E108" s="675">
        <v>598731</v>
      </c>
      <c r="F108" s="675">
        <f t="shared" si="4"/>
        <v>100</v>
      </c>
      <c r="G108" s="685" t="s">
        <v>273</v>
      </c>
    </row>
    <row r="109" spans="1:7" ht="13.5" customHeight="1">
      <c r="A109" s="673">
        <v>4116</v>
      </c>
      <c r="B109" s="674" t="s">
        <v>906</v>
      </c>
      <c r="C109" s="675">
        <v>0</v>
      </c>
      <c r="D109" s="675">
        <v>50000</v>
      </c>
      <c r="E109" s="675">
        <v>50000</v>
      </c>
      <c r="F109" s="675">
        <f t="shared" si="4"/>
        <v>100</v>
      </c>
      <c r="G109" s="685" t="s">
        <v>274</v>
      </c>
    </row>
    <row r="110" spans="1:7" ht="13.5" customHeight="1">
      <c r="A110" s="673">
        <v>4116</v>
      </c>
      <c r="B110" s="674" t="s">
        <v>906</v>
      </c>
      <c r="C110" s="675">
        <v>0</v>
      </c>
      <c r="D110" s="675">
        <v>5155000</v>
      </c>
      <c r="E110" s="675">
        <v>5155000</v>
      </c>
      <c r="F110" s="675">
        <f t="shared" si="4"/>
        <v>100</v>
      </c>
      <c r="G110" s="685" t="s">
        <v>386</v>
      </c>
    </row>
    <row r="111" spans="1:7" ht="13.5" customHeight="1">
      <c r="A111" s="673">
        <v>4116</v>
      </c>
      <c r="B111" s="674" t="s">
        <v>906</v>
      </c>
      <c r="C111" s="675">
        <v>0</v>
      </c>
      <c r="D111" s="675">
        <v>2245000</v>
      </c>
      <c r="E111" s="675">
        <v>2245000</v>
      </c>
      <c r="F111" s="675">
        <f t="shared" si="4"/>
        <v>100</v>
      </c>
      <c r="G111" s="685" t="s">
        <v>387</v>
      </c>
    </row>
    <row r="112" spans="1:7" ht="13.5" customHeight="1">
      <c r="A112" s="673">
        <v>4116</v>
      </c>
      <c r="B112" s="674" t="s">
        <v>906</v>
      </c>
      <c r="C112" s="675">
        <v>0</v>
      </c>
      <c r="D112" s="675">
        <v>264000</v>
      </c>
      <c r="E112" s="675">
        <v>264000</v>
      </c>
      <c r="F112" s="675">
        <f t="shared" si="4"/>
        <v>100</v>
      </c>
      <c r="G112" s="685" t="s">
        <v>388</v>
      </c>
    </row>
    <row r="113" spans="1:7" ht="13.5" customHeight="1">
      <c r="A113" s="673">
        <v>4116</v>
      </c>
      <c r="B113" s="674" t="s">
        <v>906</v>
      </c>
      <c r="C113" s="675">
        <v>0</v>
      </c>
      <c r="D113" s="675">
        <v>2731355</v>
      </c>
      <c r="E113" s="675">
        <v>2731355</v>
      </c>
      <c r="F113" s="675">
        <f t="shared" si="4"/>
        <v>100</v>
      </c>
      <c r="G113" s="684" t="s">
        <v>962</v>
      </c>
    </row>
    <row r="114" spans="1:7" ht="13.5" customHeight="1">
      <c r="A114" s="673">
        <v>4116</v>
      </c>
      <c r="B114" s="674" t="s">
        <v>906</v>
      </c>
      <c r="C114" s="675">
        <v>0</v>
      </c>
      <c r="D114" s="675">
        <v>1310000</v>
      </c>
      <c r="E114" s="675">
        <v>1310000</v>
      </c>
      <c r="F114" s="675">
        <f t="shared" si="4"/>
        <v>100</v>
      </c>
      <c r="G114" s="685" t="s">
        <v>963</v>
      </c>
    </row>
    <row r="115" spans="1:7" ht="13.5" customHeight="1">
      <c r="A115" s="673">
        <v>4116</v>
      </c>
      <c r="B115" s="674" t="s">
        <v>906</v>
      </c>
      <c r="C115" s="675">
        <v>0</v>
      </c>
      <c r="D115" s="675">
        <v>157000</v>
      </c>
      <c r="E115" s="675">
        <v>157000</v>
      </c>
      <c r="F115" s="675">
        <f t="shared" si="4"/>
        <v>100</v>
      </c>
      <c r="G115" s="685" t="s">
        <v>964</v>
      </c>
    </row>
    <row r="116" spans="1:7" ht="13.5" customHeight="1">
      <c r="A116" s="673">
        <v>4119</v>
      </c>
      <c r="B116" s="674" t="s">
        <v>908</v>
      </c>
      <c r="C116" s="675">
        <v>0</v>
      </c>
      <c r="D116" s="675">
        <v>622574.55</v>
      </c>
      <c r="E116" s="675">
        <v>622574.55</v>
      </c>
      <c r="F116" s="675">
        <f t="shared" si="4"/>
        <v>100</v>
      </c>
      <c r="G116" s="685" t="s">
        <v>965</v>
      </c>
    </row>
    <row r="117" spans="1:7" ht="13.5" customHeight="1">
      <c r="A117" s="673">
        <v>4119</v>
      </c>
      <c r="B117" s="674" t="s">
        <v>908</v>
      </c>
      <c r="C117" s="675"/>
      <c r="D117" s="675">
        <v>22800</v>
      </c>
      <c r="E117" s="675">
        <v>22800</v>
      </c>
      <c r="F117" s="675">
        <f t="shared" si="4"/>
        <v>100</v>
      </c>
      <c r="G117" s="684" t="s">
        <v>966</v>
      </c>
    </row>
    <row r="118" spans="1:7" ht="13.5" customHeight="1">
      <c r="A118" s="673">
        <v>4121</v>
      </c>
      <c r="B118" s="674" t="s">
        <v>909</v>
      </c>
      <c r="C118" s="675">
        <v>1900000</v>
      </c>
      <c r="D118" s="675">
        <v>1900000</v>
      </c>
      <c r="E118" s="675">
        <v>1809548</v>
      </c>
      <c r="F118" s="675">
        <f aca="true" t="shared" si="5" ref="F118:F133">E118/D118*100</f>
        <v>95.23936842105263</v>
      </c>
      <c r="G118" s="676" t="s">
        <v>910</v>
      </c>
    </row>
    <row r="119" spans="1:7" ht="13.5" customHeight="1">
      <c r="A119" s="673">
        <v>4121</v>
      </c>
      <c r="B119" s="674" t="s">
        <v>909</v>
      </c>
      <c r="C119" s="675">
        <v>250000</v>
      </c>
      <c r="D119" s="675">
        <v>250000</v>
      </c>
      <c r="E119" s="675">
        <v>173100</v>
      </c>
      <c r="F119" s="675">
        <f t="shared" si="5"/>
        <v>69.24</v>
      </c>
      <c r="G119" s="676" t="s">
        <v>911</v>
      </c>
    </row>
    <row r="120" spans="1:7" ht="13.5" customHeight="1">
      <c r="A120" s="673">
        <v>4122</v>
      </c>
      <c r="B120" s="674" t="s">
        <v>912</v>
      </c>
      <c r="C120" s="675">
        <v>0</v>
      </c>
      <c r="D120" s="675">
        <v>350000</v>
      </c>
      <c r="E120" s="675">
        <v>350000</v>
      </c>
      <c r="F120" s="675">
        <f t="shared" si="5"/>
        <v>100</v>
      </c>
      <c r="G120" s="684" t="s">
        <v>967</v>
      </c>
    </row>
    <row r="121" spans="1:7" ht="13.5" customHeight="1">
      <c r="A121" s="673">
        <v>4122</v>
      </c>
      <c r="B121" s="674" t="s">
        <v>912</v>
      </c>
      <c r="C121" s="675">
        <v>0</v>
      </c>
      <c r="D121" s="675">
        <v>64758</v>
      </c>
      <c r="E121" s="675">
        <v>64758</v>
      </c>
      <c r="F121" s="675">
        <f t="shared" si="5"/>
        <v>100</v>
      </c>
      <c r="G121" s="684" t="s">
        <v>968</v>
      </c>
    </row>
    <row r="122" spans="1:7" ht="13.5" customHeight="1">
      <c r="A122" s="673">
        <v>4122</v>
      </c>
      <c r="B122" s="674" t="s">
        <v>912</v>
      </c>
      <c r="C122" s="675">
        <v>0</v>
      </c>
      <c r="D122" s="675">
        <v>4522649</v>
      </c>
      <c r="E122" s="675">
        <v>4522649</v>
      </c>
      <c r="F122" s="675">
        <f t="shared" si="5"/>
        <v>100</v>
      </c>
      <c r="G122" s="684" t="s">
        <v>969</v>
      </c>
    </row>
    <row r="123" spans="1:9" ht="13.5" customHeight="1">
      <c r="A123" s="673">
        <v>4122</v>
      </c>
      <c r="B123" s="674" t="s">
        <v>912</v>
      </c>
      <c r="C123" s="675">
        <v>0</v>
      </c>
      <c r="D123" s="675">
        <v>2502865</v>
      </c>
      <c r="E123" s="675">
        <v>2502865</v>
      </c>
      <c r="F123" s="675">
        <f t="shared" si="5"/>
        <v>100</v>
      </c>
      <c r="G123" s="684" t="s">
        <v>970</v>
      </c>
      <c r="H123" s="677"/>
      <c r="I123" s="678"/>
    </row>
    <row r="124" spans="1:9" ht="13.5" customHeight="1">
      <c r="A124" s="673">
        <v>4122</v>
      </c>
      <c r="B124" s="674" t="s">
        <v>912</v>
      </c>
      <c r="C124" s="675">
        <v>0</v>
      </c>
      <c r="D124" s="675">
        <v>63240</v>
      </c>
      <c r="E124" s="675">
        <v>63240</v>
      </c>
      <c r="F124" s="675">
        <f t="shared" si="5"/>
        <v>100</v>
      </c>
      <c r="G124" s="684" t="s">
        <v>971</v>
      </c>
      <c r="H124" s="677"/>
      <c r="I124" s="678"/>
    </row>
    <row r="125" spans="1:9" ht="13.5" customHeight="1">
      <c r="A125" s="673"/>
      <c r="B125" s="674"/>
      <c r="C125" s="675"/>
      <c r="D125" s="675"/>
      <c r="E125" s="675"/>
      <c r="F125" s="675"/>
      <c r="G125" s="676" t="s">
        <v>684</v>
      </c>
      <c r="H125" s="677"/>
      <c r="I125" s="678"/>
    </row>
    <row r="126" spans="1:9" ht="13.5" customHeight="1">
      <c r="A126" s="673">
        <v>4122</v>
      </c>
      <c r="B126" s="674" t="s">
        <v>912</v>
      </c>
      <c r="C126" s="675">
        <v>0</v>
      </c>
      <c r="D126" s="675">
        <v>1866000</v>
      </c>
      <c r="E126" s="675">
        <v>1866000</v>
      </c>
      <c r="F126" s="675">
        <f t="shared" si="5"/>
        <v>100</v>
      </c>
      <c r="G126" s="684" t="s">
        <v>972</v>
      </c>
      <c r="H126" s="677"/>
      <c r="I126" s="678"/>
    </row>
    <row r="127" spans="1:9" ht="13.5" customHeight="1">
      <c r="A127" s="673">
        <v>4122</v>
      </c>
      <c r="B127" s="674" t="s">
        <v>912</v>
      </c>
      <c r="C127" s="675">
        <v>0</v>
      </c>
      <c r="D127" s="675">
        <v>1030000</v>
      </c>
      <c r="E127" s="675">
        <v>1030000</v>
      </c>
      <c r="F127" s="675">
        <f t="shared" si="5"/>
        <v>100</v>
      </c>
      <c r="G127" s="684" t="s">
        <v>973</v>
      </c>
      <c r="H127" s="677"/>
      <c r="I127" s="678"/>
    </row>
    <row r="128" spans="1:9" ht="13.5" customHeight="1">
      <c r="A128" s="673">
        <v>4122</v>
      </c>
      <c r="B128" s="674" t="s">
        <v>912</v>
      </c>
      <c r="C128" s="675">
        <v>0</v>
      </c>
      <c r="D128" s="675">
        <v>1000000</v>
      </c>
      <c r="E128" s="675">
        <v>1000000</v>
      </c>
      <c r="F128" s="675">
        <f t="shared" si="5"/>
        <v>100</v>
      </c>
      <c r="G128" s="684" t="s">
        <v>974</v>
      </c>
      <c r="H128" s="677"/>
      <c r="I128" s="678"/>
    </row>
    <row r="129" spans="1:9" ht="13.5" customHeight="1">
      <c r="A129" s="673">
        <v>4122</v>
      </c>
      <c r="B129" s="674" t="s">
        <v>912</v>
      </c>
      <c r="C129" s="675">
        <v>0</v>
      </c>
      <c r="D129" s="675">
        <v>60000</v>
      </c>
      <c r="E129" s="675">
        <v>60000</v>
      </c>
      <c r="F129" s="675">
        <f t="shared" si="5"/>
        <v>100</v>
      </c>
      <c r="G129" s="684" t="s">
        <v>461</v>
      </c>
      <c r="H129" s="677"/>
      <c r="I129" s="678"/>
    </row>
    <row r="130" spans="1:9" ht="13.5" customHeight="1">
      <c r="A130" s="673">
        <v>4122</v>
      </c>
      <c r="B130" s="674" t="s">
        <v>912</v>
      </c>
      <c r="C130" s="675">
        <v>0</v>
      </c>
      <c r="D130" s="675">
        <v>7500</v>
      </c>
      <c r="E130" s="675">
        <v>7500</v>
      </c>
      <c r="F130" s="675">
        <f t="shared" si="5"/>
        <v>100</v>
      </c>
      <c r="G130" s="684" t="s">
        <v>462</v>
      </c>
      <c r="H130" s="677"/>
      <c r="I130" s="678"/>
    </row>
    <row r="131" spans="1:9" ht="13.5" customHeight="1">
      <c r="A131" s="673">
        <v>4123</v>
      </c>
      <c r="B131" s="674" t="s">
        <v>913</v>
      </c>
      <c r="C131" s="675">
        <v>0</v>
      </c>
      <c r="D131" s="675">
        <v>362778.3</v>
      </c>
      <c r="E131" s="675">
        <v>362778.3</v>
      </c>
      <c r="F131" s="675">
        <f t="shared" si="5"/>
        <v>100</v>
      </c>
      <c r="G131" s="684" t="s">
        <v>463</v>
      </c>
      <c r="H131" s="677"/>
      <c r="I131" s="678"/>
    </row>
    <row r="132" spans="1:9" ht="13.5" customHeight="1">
      <c r="A132" s="673">
        <v>4123</v>
      </c>
      <c r="B132" s="674" t="s">
        <v>913</v>
      </c>
      <c r="C132" s="675">
        <v>0</v>
      </c>
      <c r="D132" s="675">
        <v>64019.7</v>
      </c>
      <c r="E132" s="675">
        <v>64019.7</v>
      </c>
      <c r="F132" s="675">
        <f t="shared" si="5"/>
        <v>100</v>
      </c>
      <c r="G132" s="684" t="s">
        <v>464</v>
      </c>
      <c r="H132" s="677"/>
      <c r="I132" s="678"/>
    </row>
    <row r="133" spans="1:8" ht="13.5" customHeight="1">
      <c r="A133" s="673">
        <v>4131</v>
      </c>
      <c r="B133" s="674" t="s">
        <v>914</v>
      </c>
      <c r="C133" s="675">
        <v>396748000</v>
      </c>
      <c r="D133" s="675">
        <v>237110548.02</v>
      </c>
      <c r="E133" s="675">
        <v>274769863</v>
      </c>
      <c r="F133" s="675">
        <f t="shared" si="5"/>
        <v>115.8825979250925</v>
      </c>
      <c r="G133" s="676" t="s">
        <v>102</v>
      </c>
      <c r="H133" s="675"/>
    </row>
    <row r="134" spans="1:8" ht="13.5" customHeight="1">
      <c r="A134" s="673"/>
      <c r="B134" s="674"/>
      <c r="C134" s="675"/>
      <c r="D134" s="675"/>
      <c r="E134" s="675"/>
      <c r="F134" s="675"/>
      <c r="G134" s="1159" t="s">
        <v>915</v>
      </c>
      <c r="H134" s="677"/>
    </row>
    <row r="135" spans="1:8" ht="13.5" customHeight="1">
      <c r="A135" s="673"/>
      <c r="B135" s="674"/>
      <c r="C135" s="675"/>
      <c r="D135" s="675"/>
      <c r="E135" s="675"/>
      <c r="F135" s="675"/>
      <c r="G135" s="1160" t="s">
        <v>103</v>
      </c>
      <c r="H135" s="677"/>
    </row>
    <row r="136" spans="1:8" ht="13.5" customHeight="1">
      <c r="A136" s="673"/>
      <c r="B136" s="674"/>
      <c r="C136" s="675"/>
      <c r="D136" s="675"/>
      <c r="E136" s="675"/>
      <c r="F136" s="675"/>
      <c r="G136" s="1159" t="s">
        <v>915</v>
      </c>
      <c r="H136" s="677"/>
    </row>
    <row r="137" spans="1:8" ht="13.5" customHeight="1">
      <c r="A137" s="673">
        <v>4132</v>
      </c>
      <c r="B137" s="674" t="s">
        <v>916</v>
      </c>
      <c r="C137" s="675">
        <v>0</v>
      </c>
      <c r="D137" s="675">
        <v>8555207.12</v>
      </c>
      <c r="E137" s="675">
        <v>8555207.12</v>
      </c>
      <c r="F137" s="675">
        <f>E137/D137*100</f>
        <v>100</v>
      </c>
      <c r="G137" s="676" t="s">
        <v>917</v>
      </c>
      <c r="H137" s="675"/>
    </row>
    <row r="138" spans="1:8" ht="13.5" customHeight="1">
      <c r="A138" s="673"/>
      <c r="B138" s="674"/>
      <c r="C138" s="675"/>
      <c r="D138" s="675"/>
      <c r="E138" s="675"/>
      <c r="F138" s="675"/>
      <c r="G138" s="1161" t="s">
        <v>918</v>
      </c>
      <c r="H138" s="675"/>
    </row>
    <row r="139" spans="1:8" ht="13.5" customHeight="1">
      <c r="A139" s="673">
        <v>4211</v>
      </c>
      <c r="B139" s="674" t="s">
        <v>919</v>
      </c>
      <c r="C139" s="675">
        <v>0</v>
      </c>
      <c r="D139" s="675">
        <v>8773000</v>
      </c>
      <c r="E139" s="675">
        <v>8773000</v>
      </c>
      <c r="F139" s="675">
        <f>E139/D139*100</f>
        <v>100</v>
      </c>
      <c r="G139" s="1162" t="s">
        <v>465</v>
      </c>
      <c r="H139" s="675"/>
    </row>
    <row r="140" spans="1:7" ht="13.5" customHeight="1">
      <c r="A140" s="673">
        <v>4213</v>
      </c>
      <c r="B140" s="674" t="s">
        <v>920</v>
      </c>
      <c r="C140" s="675">
        <v>0</v>
      </c>
      <c r="D140" s="675">
        <v>40495</v>
      </c>
      <c r="E140" s="675">
        <v>40495</v>
      </c>
      <c r="F140" s="675">
        <f aca="true" t="shared" si="6" ref="F140:F158">E140/D140*100</f>
        <v>100</v>
      </c>
      <c r="G140" s="685" t="s">
        <v>466</v>
      </c>
    </row>
    <row r="141" spans="1:7" ht="13.5" customHeight="1">
      <c r="A141" s="673">
        <v>4213</v>
      </c>
      <c r="B141" s="674" t="s">
        <v>920</v>
      </c>
      <c r="C141" s="675">
        <v>0</v>
      </c>
      <c r="D141" s="675">
        <v>161978</v>
      </c>
      <c r="E141" s="675">
        <v>161978</v>
      </c>
      <c r="F141" s="675">
        <f t="shared" si="6"/>
        <v>100</v>
      </c>
      <c r="G141" s="685" t="s">
        <v>467</v>
      </c>
    </row>
    <row r="142" spans="1:7" ht="13.5" customHeight="1">
      <c r="A142" s="673">
        <v>4213</v>
      </c>
      <c r="B142" s="674" t="s">
        <v>920</v>
      </c>
      <c r="C142" s="675">
        <v>0</v>
      </c>
      <c r="D142" s="675">
        <v>970488</v>
      </c>
      <c r="E142" s="675">
        <v>970488</v>
      </c>
      <c r="F142" s="675">
        <f t="shared" si="6"/>
        <v>100</v>
      </c>
      <c r="G142" s="685" t="s">
        <v>468</v>
      </c>
    </row>
    <row r="143" spans="1:7" ht="13.5" customHeight="1">
      <c r="A143" s="673">
        <v>4213</v>
      </c>
      <c r="B143" s="674" t="s">
        <v>920</v>
      </c>
      <c r="C143" s="675">
        <v>0</v>
      </c>
      <c r="D143" s="675">
        <v>2911462</v>
      </c>
      <c r="E143" s="675">
        <v>2911462</v>
      </c>
      <c r="F143" s="675">
        <f t="shared" si="6"/>
        <v>100</v>
      </c>
      <c r="G143" s="685" t="s">
        <v>469</v>
      </c>
    </row>
    <row r="144" spans="1:7" ht="13.5" customHeight="1">
      <c r="A144" s="673">
        <v>4213</v>
      </c>
      <c r="B144" s="674" t="s">
        <v>920</v>
      </c>
      <c r="C144" s="675">
        <v>0</v>
      </c>
      <c r="D144" s="675">
        <v>2009269</v>
      </c>
      <c r="E144" s="675">
        <v>2009269</v>
      </c>
      <c r="F144" s="675">
        <f t="shared" si="6"/>
        <v>100</v>
      </c>
      <c r="G144" s="685" t="s">
        <v>470</v>
      </c>
    </row>
    <row r="145" spans="1:7" ht="13.5" customHeight="1">
      <c r="A145" s="673">
        <v>4216</v>
      </c>
      <c r="B145" s="674" t="s">
        <v>921</v>
      </c>
      <c r="C145" s="675">
        <v>0</v>
      </c>
      <c r="D145" s="675">
        <v>165000</v>
      </c>
      <c r="E145" s="675">
        <v>165000</v>
      </c>
      <c r="F145" s="675">
        <f t="shared" si="6"/>
        <v>100</v>
      </c>
      <c r="G145" s="685" t="s">
        <v>781</v>
      </c>
    </row>
    <row r="146" spans="1:7" ht="13.5" customHeight="1">
      <c r="A146" s="673">
        <v>4216</v>
      </c>
      <c r="B146" s="674" t="s">
        <v>921</v>
      </c>
      <c r="C146" s="675">
        <v>0</v>
      </c>
      <c r="D146" s="675">
        <v>935000</v>
      </c>
      <c r="E146" s="675">
        <v>935000</v>
      </c>
      <c r="F146" s="675">
        <f t="shared" si="6"/>
        <v>100</v>
      </c>
      <c r="G146" s="685" t="s">
        <v>782</v>
      </c>
    </row>
    <row r="147" spans="1:7" ht="13.5" customHeight="1">
      <c r="A147" s="673">
        <v>4216</v>
      </c>
      <c r="B147" s="674" t="s">
        <v>921</v>
      </c>
      <c r="C147" s="675">
        <v>0</v>
      </c>
      <c r="D147" s="675">
        <v>490589</v>
      </c>
      <c r="E147" s="675">
        <v>490589</v>
      </c>
      <c r="F147" s="675">
        <f t="shared" si="6"/>
        <v>100</v>
      </c>
      <c r="G147" s="684" t="s">
        <v>783</v>
      </c>
    </row>
    <row r="148" spans="1:7" ht="13.5" customHeight="1">
      <c r="A148" s="673">
        <v>4216</v>
      </c>
      <c r="B148" s="674" t="s">
        <v>921</v>
      </c>
      <c r="C148" s="675">
        <v>0</v>
      </c>
      <c r="D148" s="675">
        <v>540000</v>
      </c>
      <c r="E148" s="675">
        <v>540000</v>
      </c>
      <c r="F148" s="675">
        <f t="shared" si="6"/>
        <v>100</v>
      </c>
      <c r="G148" s="684" t="s">
        <v>784</v>
      </c>
    </row>
    <row r="149" spans="1:7" ht="13.5" customHeight="1">
      <c r="A149" s="673">
        <v>4216</v>
      </c>
      <c r="B149" s="674" t="s">
        <v>921</v>
      </c>
      <c r="C149" s="675">
        <v>0</v>
      </c>
      <c r="D149" s="675">
        <v>536000</v>
      </c>
      <c r="E149" s="675">
        <v>536000</v>
      </c>
      <c r="F149" s="675">
        <f t="shared" si="6"/>
        <v>100</v>
      </c>
      <c r="G149" s="684" t="s">
        <v>785</v>
      </c>
    </row>
    <row r="150" spans="1:7" ht="13.5" customHeight="1">
      <c r="A150" s="673">
        <v>4216</v>
      </c>
      <c r="B150" s="674" t="s">
        <v>921</v>
      </c>
      <c r="C150" s="675">
        <v>0</v>
      </c>
      <c r="D150" s="675">
        <v>349000</v>
      </c>
      <c r="E150" s="675">
        <v>349000</v>
      </c>
      <c r="F150" s="675">
        <f t="shared" si="6"/>
        <v>100</v>
      </c>
      <c r="G150" s="684" t="s">
        <v>786</v>
      </c>
    </row>
    <row r="151" spans="1:7" ht="13.5" customHeight="1">
      <c r="A151" s="673">
        <v>4218</v>
      </c>
      <c r="B151" s="674" t="s">
        <v>922</v>
      </c>
      <c r="C151" s="675">
        <v>0</v>
      </c>
      <c r="D151" s="675">
        <v>5180.49</v>
      </c>
      <c r="E151" s="696">
        <v>5180.49</v>
      </c>
      <c r="F151" s="675">
        <f t="shared" si="6"/>
        <v>100</v>
      </c>
      <c r="G151" s="684" t="s">
        <v>609</v>
      </c>
    </row>
    <row r="152" spans="1:7" ht="13.5" customHeight="1">
      <c r="A152" s="673">
        <v>4223</v>
      </c>
      <c r="B152" s="675" t="s">
        <v>923</v>
      </c>
      <c r="C152" s="675">
        <v>0</v>
      </c>
      <c r="D152" s="675">
        <v>24271957.17</v>
      </c>
      <c r="E152" s="696">
        <v>24271957.17</v>
      </c>
      <c r="F152" s="675">
        <f t="shared" si="6"/>
        <v>100</v>
      </c>
      <c r="G152" s="684" t="s">
        <v>787</v>
      </c>
    </row>
    <row r="153" spans="1:7" ht="13.5" customHeight="1">
      <c r="A153" s="673"/>
      <c r="B153" s="675"/>
      <c r="C153" s="675"/>
      <c r="D153" s="675"/>
      <c r="E153" s="696"/>
      <c r="F153" s="675"/>
      <c r="G153" s="676" t="s">
        <v>924</v>
      </c>
    </row>
    <row r="154" spans="1:7" ht="13.5" customHeight="1">
      <c r="A154" s="673">
        <v>4223</v>
      </c>
      <c r="B154" s="675" t="s">
        <v>923</v>
      </c>
      <c r="C154" s="675">
        <v>0</v>
      </c>
      <c r="D154" s="675">
        <v>1429009.34</v>
      </c>
      <c r="E154" s="696">
        <v>1429009.34</v>
      </c>
      <c r="F154" s="675">
        <f t="shared" si="6"/>
        <v>100</v>
      </c>
      <c r="G154" s="684" t="s">
        <v>788</v>
      </c>
    </row>
    <row r="155" spans="1:7" ht="13.5" customHeight="1">
      <c r="A155" s="673"/>
      <c r="B155" s="675"/>
      <c r="C155" s="675"/>
      <c r="D155" s="675"/>
      <c r="E155" s="696"/>
      <c r="F155" s="675"/>
      <c r="G155" s="676" t="s">
        <v>925</v>
      </c>
    </row>
    <row r="156" spans="1:7" ht="13.5" customHeight="1" thickBot="1">
      <c r="A156" s="673">
        <v>4240</v>
      </c>
      <c r="B156" s="675" t="s">
        <v>715</v>
      </c>
      <c r="C156" s="675">
        <v>0</v>
      </c>
      <c r="D156" s="675">
        <v>2000000</v>
      </c>
      <c r="E156" s="696">
        <v>2000000</v>
      </c>
      <c r="F156" s="675">
        <f t="shared" si="6"/>
        <v>100</v>
      </c>
      <c r="G156" s="684" t="s">
        <v>685</v>
      </c>
    </row>
    <row r="157" spans="1:8" ht="13.5" customHeight="1" thickBot="1">
      <c r="A157" s="697"/>
      <c r="B157" s="689" t="s">
        <v>716</v>
      </c>
      <c r="C157" s="690">
        <f>SUM(C93:C154)</f>
        <v>520648100</v>
      </c>
      <c r="D157" s="690">
        <f>SUM(D93:D156)</f>
        <v>707798778.19</v>
      </c>
      <c r="E157" s="690">
        <f>SUM(E93:E156)</f>
        <v>744519888.37</v>
      </c>
      <c r="F157" s="690">
        <f t="shared" si="6"/>
        <v>105.18807199327244</v>
      </c>
      <c r="G157" s="676"/>
      <c r="H157" s="677"/>
    </row>
    <row r="158" spans="1:8" ht="26.25" customHeight="1" thickBot="1">
      <c r="A158" s="698"/>
      <c r="B158" s="699" t="s">
        <v>717</v>
      </c>
      <c r="C158" s="700">
        <f>C34+C89+C92+C157</f>
        <v>2093902100</v>
      </c>
      <c r="D158" s="700">
        <f>D34+D89+D92+D157</f>
        <v>2118458281.95</v>
      </c>
      <c r="E158" s="700">
        <f>E34+E89+E92+E157</f>
        <v>2025911606.1100001</v>
      </c>
      <c r="F158" s="700">
        <f t="shared" si="6"/>
        <v>95.6314138150121</v>
      </c>
      <c r="G158" s="701"/>
      <c r="H158" s="675"/>
    </row>
    <row r="159" spans="1:7" ht="13.5" customHeight="1">
      <c r="A159" s="677"/>
      <c r="B159" s="702"/>
      <c r="C159" s="703"/>
      <c r="D159" s="703"/>
      <c r="E159" s="703"/>
      <c r="F159" s="703"/>
      <c r="G159" s="674"/>
    </row>
    <row r="160" spans="1:8" ht="13.5" customHeight="1">
      <c r="A160" s="677"/>
      <c r="B160" s="702"/>
      <c r="C160" s="703"/>
      <c r="D160" s="703"/>
      <c r="E160" s="703"/>
      <c r="F160" s="703"/>
      <c r="G160" s="674"/>
      <c r="H160" s="682"/>
    </row>
    <row r="161" spans="1:8" ht="13.5" customHeight="1">
      <c r="A161" s="677"/>
      <c r="B161" s="674"/>
      <c r="C161" s="703"/>
      <c r="D161" s="703"/>
      <c r="E161" s="675"/>
      <c r="F161" s="703"/>
      <c r="G161" s="674"/>
      <c r="H161" s="682"/>
    </row>
    <row r="162" spans="1:8" ht="13.5">
      <c r="A162" s="704"/>
      <c r="B162" s="705"/>
      <c r="C162" s="703"/>
      <c r="D162" s="706"/>
      <c r="E162" s="675"/>
      <c r="F162" s="675"/>
      <c r="H162" s="682"/>
    </row>
    <row r="163" spans="1:8" ht="12.75">
      <c r="A163" s="704"/>
      <c r="B163" s="674"/>
      <c r="C163" s="707"/>
      <c r="D163" s="706"/>
      <c r="E163" s="675"/>
      <c r="F163" s="675"/>
      <c r="H163" s="682"/>
    </row>
    <row r="164" spans="1:6" ht="12.75">
      <c r="A164" s="704"/>
      <c r="B164" s="674"/>
      <c r="C164" s="706"/>
      <c r="D164" s="707"/>
      <c r="E164" s="707"/>
      <c r="F164" s="707"/>
    </row>
    <row r="165" spans="1:6" ht="12.75">
      <c r="A165" s="704"/>
      <c r="B165" s="674"/>
      <c r="C165" s="706"/>
      <c r="D165" s="707"/>
      <c r="E165" s="707"/>
      <c r="F165" s="707"/>
    </row>
    <row r="166" spans="1:6" ht="12.75">
      <c r="A166" s="704"/>
      <c r="B166" s="674"/>
      <c r="C166" s="707"/>
      <c r="D166" s="707"/>
      <c r="E166" s="707"/>
      <c r="F166" s="707"/>
    </row>
    <row r="167" spans="1:6" ht="12.75">
      <c r="A167" s="704"/>
      <c r="C167" s="707"/>
      <c r="D167" s="707"/>
      <c r="E167" s="707"/>
      <c r="F167" s="707"/>
    </row>
    <row r="168" spans="1:6" ht="12.75">
      <c r="A168" s="704"/>
      <c r="C168" s="707"/>
      <c r="D168" s="707"/>
      <c r="E168" s="707"/>
      <c r="F168" s="707"/>
    </row>
    <row r="169" spans="1:6" ht="12.75">
      <c r="A169" s="704"/>
      <c r="C169" s="707"/>
      <c r="D169" s="707"/>
      <c r="E169" s="707"/>
      <c r="F169" s="707"/>
    </row>
    <row r="170" spans="1:6" ht="12.75">
      <c r="A170" s="704"/>
      <c r="C170" s="707"/>
      <c r="D170" s="707"/>
      <c r="E170" s="707"/>
      <c r="F170" s="707"/>
    </row>
    <row r="171" spans="1:6" ht="12.75">
      <c r="A171" s="704"/>
      <c r="C171" s="707"/>
      <c r="D171" s="707"/>
      <c r="E171" s="707"/>
      <c r="F171" s="707"/>
    </row>
    <row r="172" spans="1:6" ht="12.75">
      <c r="A172" s="704"/>
      <c r="C172" s="707"/>
      <c r="D172" s="707"/>
      <c r="E172" s="707"/>
      <c r="F172" s="707"/>
    </row>
    <row r="173" spans="1:6" ht="12.75">
      <c r="A173" s="704"/>
      <c r="C173" s="707"/>
      <c r="D173" s="707"/>
      <c r="E173" s="707"/>
      <c r="F173" s="707"/>
    </row>
    <row r="174" spans="1:6" ht="12.75">
      <c r="A174" s="704"/>
      <c r="C174" s="707"/>
      <c r="D174" s="707"/>
      <c r="E174" s="707"/>
      <c r="F174" s="707"/>
    </row>
    <row r="175" spans="1:6" ht="12.75">
      <c r="A175" s="704"/>
      <c r="C175" s="707"/>
      <c r="D175" s="707"/>
      <c r="E175" s="707"/>
      <c r="F175" s="707"/>
    </row>
    <row r="176" spans="1:6" ht="12.75">
      <c r="A176" s="704"/>
      <c r="C176" s="707"/>
      <c r="D176" s="707"/>
      <c r="E176" s="707"/>
      <c r="F176" s="707"/>
    </row>
    <row r="177" spans="1:6" ht="12.75">
      <c r="A177" s="704"/>
      <c r="C177" s="707"/>
      <c r="D177" s="707"/>
      <c r="E177" s="707"/>
      <c r="F177" s="707"/>
    </row>
    <row r="178" spans="1:6" ht="12.75">
      <c r="A178" s="704"/>
      <c r="C178" s="707"/>
      <c r="D178" s="707"/>
      <c r="E178" s="707"/>
      <c r="F178" s="707"/>
    </row>
    <row r="179" ht="12.75">
      <c r="A179" s="704"/>
    </row>
    <row r="180" ht="12.75">
      <c r="A180" s="704"/>
    </row>
    <row r="181" ht="12.75">
      <c r="A181" s="704"/>
    </row>
    <row r="182" ht="12.75">
      <c r="A182" s="704"/>
    </row>
    <row r="183" ht="12.75">
      <c r="A183" s="704"/>
    </row>
    <row r="184" ht="12.75">
      <c r="A184" s="704"/>
    </row>
    <row r="185" ht="12.75">
      <c r="A185" s="704"/>
    </row>
    <row r="186" ht="12.75">
      <c r="A186" s="704"/>
    </row>
    <row r="187" ht="12.75">
      <c r="A187" s="704"/>
    </row>
    <row r="188" ht="12.75">
      <c r="A188" s="704"/>
    </row>
    <row r="189" ht="12.75">
      <c r="A189" s="704"/>
    </row>
    <row r="190" ht="12.75">
      <c r="A190" s="704"/>
    </row>
    <row r="191" ht="12.75">
      <c r="A191" s="704"/>
    </row>
    <row r="192" ht="12.75">
      <c r="A192" s="704"/>
    </row>
    <row r="193" ht="12.75">
      <c r="A193" s="704"/>
    </row>
    <row r="194" ht="12.75">
      <c r="A194" s="704"/>
    </row>
    <row r="195" ht="12.75">
      <c r="A195" s="704"/>
    </row>
    <row r="196" ht="12.75">
      <c r="A196" s="704"/>
    </row>
    <row r="197" ht="12.75">
      <c r="A197" s="704"/>
    </row>
    <row r="198" ht="12.75">
      <c r="A198" s="704"/>
    </row>
    <row r="199" ht="12.75">
      <c r="A199" s="704"/>
    </row>
    <row r="200" ht="12.75">
      <c r="A200" s="704"/>
    </row>
    <row r="201" ht="12.75">
      <c r="A201" s="704"/>
    </row>
    <row r="202" ht="12.75">
      <c r="A202" s="704"/>
    </row>
    <row r="203" ht="12.75">
      <c r="A203" s="704"/>
    </row>
    <row r="204" ht="12.75">
      <c r="A204" s="704"/>
    </row>
    <row r="205" ht="12.75">
      <c r="A205" s="704"/>
    </row>
    <row r="206" ht="12.75">
      <c r="A206" s="704"/>
    </row>
    <row r="207" ht="12.75">
      <c r="A207" s="704"/>
    </row>
    <row r="208" ht="12.75">
      <c r="A208" s="704"/>
    </row>
    <row r="209" ht="12.75">
      <c r="A209" s="704"/>
    </row>
    <row r="210" ht="12.75">
      <c r="A210" s="704"/>
    </row>
    <row r="211" ht="12.75">
      <c r="A211" s="704"/>
    </row>
    <row r="212" ht="12.75">
      <c r="A212" s="704"/>
    </row>
    <row r="213" ht="12.75">
      <c r="A213" s="704"/>
    </row>
    <row r="214" ht="12.75">
      <c r="A214" s="704"/>
    </row>
    <row r="215" ht="12.75">
      <c r="A215" s="704"/>
    </row>
    <row r="216" ht="12.75">
      <c r="A216" s="704"/>
    </row>
    <row r="217" ht="12.75">
      <c r="A217" s="704"/>
    </row>
    <row r="218" ht="12.75">
      <c r="A218" s="704"/>
    </row>
    <row r="219" ht="12.75">
      <c r="A219" s="704"/>
    </row>
    <row r="220" ht="12.75">
      <c r="A220" s="704"/>
    </row>
    <row r="221" ht="12.75">
      <c r="A221" s="704"/>
    </row>
    <row r="222" ht="12.75">
      <c r="A222" s="704"/>
    </row>
    <row r="223" ht="12.75">
      <c r="A223" s="704"/>
    </row>
    <row r="224" ht="12.75">
      <c r="A224" s="704"/>
    </row>
    <row r="225" ht="12.75">
      <c r="A225" s="704"/>
    </row>
    <row r="226" ht="12.75">
      <c r="A226" s="704"/>
    </row>
    <row r="227" ht="12.75">
      <c r="A227" s="704"/>
    </row>
    <row r="228" ht="12.75">
      <c r="A228" s="704"/>
    </row>
    <row r="229" ht="12.75">
      <c r="A229" s="704"/>
    </row>
    <row r="230" ht="12.75">
      <c r="A230" s="704"/>
    </row>
    <row r="231" ht="12.75">
      <c r="A231" s="704"/>
    </row>
    <row r="232" ht="12.75">
      <c r="A232" s="704"/>
    </row>
    <row r="233" ht="12.75">
      <c r="A233" s="704"/>
    </row>
    <row r="234" ht="12.75">
      <c r="A234" s="704"/>
    </row>
    <row r="235" ht="12.75">
      <c r="A235" s="704"/>
    </row>
    <row r="236" ht="12.75">
      <c r="A236" s="704"/>
    </row>
    <row r="237" ht="12.75">
      <c r="A237" s="704"/>
    </row>
    <row r="238" ht="12.75">
      <c r="A238" s="704"/>
    </row>
    <row r="239" ht="12.75">
      <c r="A239" s="704"/>
    </row>
    <row r="240" ht="12.75">
      <c r="A240" s="704"/>
    </row>
    <row r="241" ht="12.75">
      <c r="A241" s="704"/>
    </row>
    <row r="242" ht="12.75">
      <c r="A242" s="704"/>
    </row>
    <row r="243" ht="12.75">
      <c r="A243" s="704"/>
    </row>
    <row r="244" ht="12.75">
      <c r="A244" s="704"/>
    </row>
    <row r="245" ht="12.75">
      <c r="A245" s="704"/>
    </row>
    <row r="246" ht="12.75">
      <c r="A246" s="704"/>
    </row>
    <row r="247" ht="12.75">
      <c r="A247" s="704"/>
    </row>
    <row r="248" ht="12.75">
      <c r="A248" s="704"/>
    </row>
    <row r="249" ht="12.75">
      <c r="A249" s="704"/>
    </row>
    <row r="250" ht="12.75">
      <c r="A250" s="704"/>
    </row>
    <row r="251" ht="12.75">
      <c r="A251" s="704"/>
    </row>
    <row r="252" ht="12.75">
      <c r="A252" s="704"/>
    </row>
    <row r="253" ht="12.75">
      <c r="A253" s="704"/>
    </row>
    <row r="254" ht="12.75">
      <c r="A254" s="704"/>
    </row>
    <row r="255" ht="12.75">
      <c r="A255" s="704"/>
    </row>
    <row r="256" ht="12.75">
      <c r="A256" s="704"/>
    </row>
    <row r="257" ht="12.75">
      <c r="A257" s="704"/>
    </row>
    <row r="258" ht="12.75">
      <c r="A258" s="704"/>
    </row>
    <row r="259" ht="12.75">
      <c r="A259" s="704"/>
    </row>
    <row r="260" ht="12.75">
      <c r="A260" s="704"/>
    </row>
    <row r="261" ht="12.75">
      <c r="A261" s="704"/>
    </row>
    <row r="262" ht="12.75">
      <c r="A262" s="704"/>
    </row>
    <row r="263" ht="12.75">
      <c r="A263" s="704"/>
    </row>
    <row r="264" ht="12.75">
      <c r="A264" s="704"/>
    </row>
    <row r="265" ht="12.75">
      <c r="A265" s="704"/>
    </row>
    <row r="266" ht="12.75">
      <c r="A266" s="704"/>
    </row>
    <row r="267" ht="12.75">
      <c r="A267" s="704"/>
    </row>
    <row r="268" ht="12.75">
      <c r="A268" s="704"/>
    </row>
    <row r="269" ht="12.75">
      <c r="A269" s="704"/>
    </row>
    <row r="270" ht="12.75">
      <c r="A270" s="704"/>
    </row>
    <row r="271" ht="12.75">
      <c r="A271" s="704"/>
    </row>
    <row r="272" ht="12.75">
      <c r="A272" s="704"/>
    </row>
    <row r="273" ht="12.75">
      <c r="A273" s="704"/>
    </row>
    <row r="274" ht="12.75">
      <c r="A274" s="704"/>
    </row>
    <row r="275" ht="12.75">
      <c r="A275" s="704"/>
    </row>
    <row r="276" ht="12.75">
      <c r="A276" s="704"/>
    </row>
    <row r="277" ht="12.75">
      <c r="A277" s="704"/>
    </row>
    <row r="278" ht="12.75">
      <c r="A278" s="704"/>
    </row>
    <row r="279" ht="12.75">
      <c r="A279" s="704"/>
    </row>
    <row r="280" ht="12.75">
      <c r="A280" s="704"/>
    </row>
    <row r="281" ht="12.75">
      <c r="A281" s="704"/>
    </row>
    <row r="282" ht="12.75">
      <c r="A282" s="704"/>
    </row>
    <row r="283" ht="12.75">
      <c r="A283" s="704"/>
    </row>
    <row r="284" ht="12.75">
      <c r="A284" s="704"/>
    </row>
    <row r="285" ht="12.75">
      <c r="A285" s="704"/>
    </row>
    <row r="286" ht="12.75">
      <c r="A286" s="704"/>
    </row>
    <row r="287" ht="12.75">
      <c r="A287" s="704"/>
    </row>
    <row r="288" ht="12.75">
      <c r="A288" s="704"/>
    </row>
    <row r="289" ht="12.75">
      <c r="A289" s="704"/>
    </row>
    <row r="290" ht="12.75">
      <c r="A290" s="704"/>
    </row>
    <row r="291" ht="12.75">
      <c r="A291" s="704"/>
    </row>
    <row r="292" ht="12.75">
      <c r="A292" s="704"/>
    </row>
    <row r="293" ht="12.75">
      <c r="A293" s="704"/>
    </row>
    <row r="294" ht="12.75">
      <c r="A294" s="704"/>
    </row>
    <row r="295" ht="12.75">
      <c r="A295" s="704"/>
    </row>
    <row r="296" ht="12.75">
      <c r="A296" s="704"/>
    </row>
    <row r="297" ht="12.75">
      <c r="A297" s="704"/>
    </row>
    <row r="298" ht="12.75">
      <c r="A298" s="704"/>
    </row>
    <row r="299" ht="12.75">
      <c r="A299" s="704"/>
    </row>
    <row r="300" ht="12.75">
      <c r="A300" s="704"/>
    </row>
    <row r="301" ht="12.75">
      <c r="A301" s="704"/>
    </row>
    <row r="302" ht="12.75">
      <c r="A302" s="704"/>
    </row>
    <row r="303" ht="12.75">
      <c r="A303" s="704"/>
    </row>
    <row r="304" ht="12.75">
      <c r="A304" s="704"/>
    </row>
    <row r="305" ht="12.75">
      <c r="A305" s="704"/>
    </row>
    <row r="306" ht="12.75">
      <c r="A306" s="704"/>
    </row>
    <row r="307" ht="12.75">
      <c r="A307" s="704"/>
    </row>
    <row r="308" ht="12.75">
      <c r="A308" s="704"/>
    </row>
    <row r="309" ht="12.75">
      <c r="A309" s="704"/>
    </row>
    <row r="310" ht="12.75">
      <c r="A310" s="704"/>
    </row>
    <row r="311" ht="12.75">
      <c r="A311" s="704"/>
    </row>
    <row r="312" ht="12.75">
      <c r="A312" s="704"/>
    </row>
    <row r="313" ht="12.75">
      <c r="A313" s="704"/>
    </row>
    <row r="314" ht="12.75">
      <c r="A314" s="704"/>
    </row>
    <row r="315" ht="12.75">
      <c r="A315" s="704"/>
    </row>
    <row r="316" ht="12.75">
      <c r="A316" s="704"/>
    </row>
    <row r="317" ht="12.75">
      <c r="A317" s="704"/>
    </row>
    <row r="318" ht="12.75">
      <c r="A318" s="704"/>
    </row>
    <row r="319" ht="12.75">
      <c r="A319" s="704"/>
    </row>
    <row r="320" ht="12.75">
      <c r="A320" s="704"/>
    </row>
    <row r="321" ht="12.75">
      <c r="A321" s="704"/>
    </row>
    <row r="322" ht="12.75">
      <c r="A322" s="704"/>
    </row>
    <row r="323" ht="12.75">
      <c r="A323" s="704"/>
    </row>
    <row r="324" ht="12.75">
      <c r="A324" s="704"/>
    </row>
    <row r="325" ht="12.75">
      <c r="A325" s="704"/>
    </row>
    <row r="326" ht="12.75">
      <c r="A326" s="704"/>
    </row>
    <row r="327" ht="12.75">
      <c r="A327" s="704"/>
    </row>
    <row r="328" ht="12.75">
      <c r="A328" s="704"/>
    </row>
    <row r="329" ht="12.75">
      <c r="A329" s="704"/>
    </row>
    <row r="330" ht="12.75">
      <c r="A330" s="704"/>
    </row>
    <row r="331" ht="12.75">
      <c r="A331" s="704"/>
    </row>
    <row r="332" ht="12.75">
      <c r="A332" s="704"/>
    </row>
    <row r="333" ht="12.75">
      <c r="A333" s="704"/>
    </row>
    <row r="334" ht="12.75">
      <c r="A334" s="704"/>
    </row>
    <row r="335" ht="12.75">
      <c r="A335" s="704"/>
    </row>
    <row r="336" ht="12.75">
      <c r="A336" s="704"/>
    </row>
    <row r="337" ht="12.75">
      <c r="A337" s="704"/>
    </row>
    <row r="338" ht="12.75">
      <c r="A338" s="704"/>
    </row>
    <row r="339" ht="12.75">
      <c r="A339" s="704"/>
    </row>
    <row r="340" ht="12.75">
      <c r="A340" s="704"/>
    </row>
    <row r="341" ht="12.75">
      <c r="A341" s="704"/>
    </row>
    <row r="342" ht="12.75">
      <c r="A342" s="704"/>
    </row>
    <row r="343" ht="12.75">
      <c r="A343" s="704"/>
    </row>
    <row r="344" ht="12.75">
      <c r="A344" s="704"/>
    </row>
    <row r="345" ht="12.75">
      <c r="A345" s="704"/>
    </row>
    <row r="346" ht="12.75">
      <c r="A346" s="704"/>
    </row>
    <row r="347" ht="12.75">
      <c r="A347" s="704"/>
    </row>
    <row r="348" ht="12.75">
      <c r="A348" s="704"/>
    </row>
    <row r="349" ht="12.75">
      <c r="A349" s="704"/>
    </row>
    <row r="350" ht="12.75">
      <c r="A350" s="704"/>
    </row>
    <row r="351" ht="12.75">
      <c r="A351" s="704"/>
    </row>
    <row r="352" ht="12.75">
      <c r="A352" s="704"/>
    </row>
    <row r="353" ht="12.75">
      <c r="A353" s="704"/>
    </row>
    <row r="354" ht="12.75">
      <c r="A354" s="704"/>
    </row>
    <row r="355" ht="12.75">
      <c r="A355" s="704"/>
    </row>
    <row r="356" ht="12.75">
      <c r="A356" s="704"/>
    </row>
    <row r="357" ht="12.75">
      <c r="A357" s="704"/>
    </row>
    <row r="358" ht="12.75">
      <c r="A358" s="704"/>
    </row>
    <row r="359" ht="12.75">
      <c r="A359" s="704"/>
    </row>
    <row r="360" ht="12.75">
      <c r="A360" s="704"/>
    </row>
    <row r="361" ht="12.75">
      <c r="A361" s="704"/>
    </row>
    <row r="362" ht="12.75">
      <c r="A362" s="704"/>
    </row>
    <row r="363" ht="12.75">
      <c r="A363" s="704"/>
    </row>
    <row r="364" ht="12.75">
      <c r="A364" s="704"/>
    </row>
    <row r="365" ht="12.75">
      <c r="A365" s="704"/>
    </row>
    <row r="366" ht="12.75">
      <c r="A366" s="704"/>
    </row>
    <row r="367" ht="12.75">
      <c r="A367" s="704"/>
    </row>
    <row r="368" ht="12.75">
      <c r="A368" s="704"/>
    </row>
    <row r="369" ht="12.75">
      <c r="A369" s="704"/>
    </row>
    <row r="370" ht="12.75">
      <c r="A370" s="704"/>
    </row>
    <row r="371" ht="12.75">
      <c r="A371" s="704"/>
    </row>
    <row r="372" ht="12.75">
      <c r="A372" s="704"/>
    </row>
    <row r="373" ht="12.75">
      <c r="A373" s="704"/>
    </row>
    <row r="374" ht="12.75">
      <c r="A374" s="704"/>
    </row>
    <row r="375" ht="12.75">
      <c r="A375" s="704"/>
    </row>
    <row r="376" ht="12.75">
      <c r="A376" s="704"/>
    </row>
    <row r="377" ht="12.75">
      <c r="A377" s="704"/>
    </row>
    <row r="378" ht="12.75">
      <c r="A378" s="704"/>
    </row>
    <row r="379" ht="12.75">
      <c r="A379" s="704"/>
    </row>
    <row r="380" ht="12.75">
      <c r="A380" s="704"/>
    </row>
    <row r="381" ht="12.75">
      <c r="A381" s="704"/>
    </row>
    <row r="382" ht="12.75">
      <c r="A382" s="704"/>
    </row>
    <row r="383" ht="12.75">
      <c r="A383" s="704"/>
    </row>
    <row r="384" ht="12.75">
      <c r="A384" s="704"/>
    </row>
    <row r="385" ht="12.75">
      <c r="A385" s="704"/>
    </row>
    <row r="386" ht="12.75">
      <c r="A386" s="704"/>
    </row>
    <row r="387" ht="12.75">
      <c r="A387" s="704"/>
    </row>
    <row r="388" ht="12.75">
      <c r="A388" s="704"/>
    </row>
    <row r="389" ht="12.75">
      <c r="A389" s="704"/>
    </row>
    <row r="390" ht="12.75">
      <c r="A390" s="704"/>
    </row>
    <row r="391" ht="12.75">
      <c r="A391" s="704"/>
    </row>
    <row r="392" ht="12.75">
      <c r="A392" s="704"/>
    </row>
    <row r="393" ht="12.75">
      <c r="A393" s="704"/>
    </row>
    <row r="394" ht="12.75">
      <c r="A394" s="704"/>
    </row>
    <row r="395" ht="12.75">
      <c r="A395" s="704"/>
    </row>
    <row r="396" ht="12.75">
      <c r="A396" s="704"/>
    </row>
    <row r="397" ht="12.75">
      <c r="A397" s="704"/>
    </row>
    <row r="398" ht="12.75">
      <c r="A398" s="704"/>
    </row>
    <row r="399" ht="12.75">
      <c r="A399" s="704"/>
    </row>
    <row r="400" ht="12.75">
      <c r="A400" s="704"/>
    </row>
    <row r="401" ht="12.75">
      <c r="A401" s="704"/>
    </row>
    <row r="402" ht="12.75">
      <c r="A402" s="704"/>
    </row>
    <row r="403" ht="12.75">
      <c r="A403" s="704"/>
    </row>
    <row r="404" ht="12.75">
      <c r="A404" s="704"/>
    </row>
    <row r="405" ht="12.75">
      <c r="A405" s="704"/>
    </row>
    <row r="406" ht="12.75">
      <c r="A406" s="704"/>
    </row>
    <row r="407" ht="12.75">
      <c r="A407" s="704"/>
    </row>
    <row r="408" ht="12.75">
      <c r="A408" s="704"/>
    </row>
    <row r="409" ht="12.75">
      <c r="A409" s="704"/>
    </row>
    <row r="410" ht="12.75">
      <c r="A410" s="704"/>
    </row>
    <row r="411" ht="12.75">
      <c r="A411" s="704"/>
    </row>
    <row r="412" ht="12.75">
      <c r="A412" s="704"/>
    </row>
    <row r="413" ht="12.75">
      <c r="A413" s="704"/>
    </row>
    <row r="414" ht="12.75">
      <c r="A414" s="704"/>
    </row>
    <row r="415" ht="12.75">
      <c r="A415" s="704"/>
    </row>
    <row r="416" ht="12.75">
      <c r="A416" s="704"/>
    </row>
    <row r="417" ht="12.75">
      <c r="A417" s="704"/>
    </row>
    <row r="418" ht="12.75">
      <c r="A418" s="704"/>
    </row>
    <row r="419" ht="12.75">
      <c r="A419" s="704"/>
    </row>
    <row r="420" ht="12.75">
      <c r="A420" s="704"/>
    </row>
    <row r="421" ht="12.75">
      <c r="A421" s="704"/>
    </row>
    <row r="422" ht="12.75">
      <c r="A422" s="704"/>
    </row>
    <row r="423" ht="12.75">
      <c r="A423" s="704"/>
    </row>
    <row r="424" ht="12.75">
      <c r="A424" s="704"/>
    </row>
    <row r="425" ht="12.75">
      <c r="A425" s="704"/>
    </row>
    <row r="426" ht="12.75">
      <c r="A426" s="704"/>
    </row>
    <row r="427" ht="12.75">
      <c r="A427" s="704"/>
    </row>
    <row r="428" ht="12.75">
      <c r="A428" s="704"/>
    </row>
    <row r="429" ht="12.75">
      <c r="A429" s="704"/>
    </row>
    <row r="430" ht="12.75">
      <c r="A430" s="704"/>
    </row>
    <row r="431" ht="12.75">
      <c r="A431" s="704"/>
    </row>
    <row r="432" ht="12.75">
      <c r="A432" s="704"/>
    </row>
    <row r="433" ht="12.75">
      <c r="A433" s="704"/>
    </row>
    <row r="434" ht="12.75">
      <c r="A434" s="704"/>
    </row>
    <row r="435" ht="12.75">
      <c r="A435" s="704"/>
    </row>
    <row r="436" ht="12.75">
      <c r="A436" s="704"/>
    </row>
    <row r="437" ht="12.75">
      <c r="A437" s="704"/>
    </row>
    <row r="438" ht="12.75">
      <c r="A438" s="704"/>
    </row>
    <row r="439" ht="12.75">
      <c r="A439" s="704"/>
    </row>
    <row r="440" ht="12.75">
      <c r="A440" s="704"/>
    </row>
    <row r="441" ht="12.75">
      <c r="A441" s="704"/>
    </row>
    <row r="442" ht="12.75">
      <c r="A442" s="704"/>
    </row>
    <row r="443" ht="12.75">
      <c r="A443" s="704"/>
    </row>
    <row r="444" ht="12.75">
      <c r="A444" s="704"/>
    </row>
    <row r="445" ht="12.75">
      <c r="A445" s="704"/>
    </row>
    <row r="446" ht="12.75">
      <c r="A446" s="704"/>
    </row>
    <row r="447" ht="12.75">
      <c r="A447" s="704"/>
    </row>
    <row r="448" ht="12.75">
      <c r="A448" s="704"/>
    </row>
    <row r="449" ht="12.75">
      <c r="A449" s="704"/>
    </row>
    <row r="450" ht="12.75">
      <c r="A450" s="704"/>
    </row>
    <row r="451" ht="12.75">
      <c r="A451" s="704"/>
    </row>
    <row r="452" ht="12.75">
      <c r="A452" s="704"/>
    </row>
    <row r="453" ht="12.75">
      <c r="A453" s="704"/>
    </row>
    <row r="454" ht="12.75">
      <c r="A454" s="704"/>
    </row>
    <row r="455" ht="12.75">
      <c r="A455" s="704"/>
    </row>
    <row r="456" ht="12.75">
      <c r="A456" s="704"/>
    </row>
    <row r="457" ht="12.75">
      <c r="A457" s="704"/>
    </row>
    <row r="458" ht="12.75">
      <c r="A458" s="704"/>
    </row>
    <row r="459" ht="12.75">
      <c r="A459" s="704"/>
    </row>
    <row r="460" ht="12.75">
      <c r="A460" s="704"/>
    </row>
    <row r="461" ht="12.75">
      <c r="A461" s="704"/>
    </row>
    <row r="462" ht="12.75">
      <c r="A462" s="704"/>
    </row>
    <row r="463" ht="12.75">
      <c r="A463" s="704"/>
    </row>
    <row r="464" ht="12.75">
      <c r="A464" s="704"/>
    </row>
    <row r="465" ht="12.75">
      <c r="A465" s="704"/>
    </row>
    <row r="466" ht="12.75">
      <c r="A466" s="704"/>
    </row>
    <row r="467" ht="12.75">
      <c r="A467" s="704"/>
    </row>
    <row r="468" ht="12.75">
      <c r="A468" s="704"/>
    </row>
    <row r="469" ht="12.75">
      <c r="A469" s="704"/>
    </row>
    <row r="470" ht="12.75">
      <c r="A470" s="704"/>
    </row>
    <row r="471" ht="12.75">
      <c r="A471" s="704"/>
    </row>
    <row r="472" ht="12.75">
      <c r="A472" s="704"/>
    </row>
    <row r="473" ht="12.75">
      <c r="A473" s="704"/>
    </row>
    <row r="474" ht="12.75">
      <c r="A474" s="704"/>
    </row>
    <row r="475" ht="12.75">
      <c r="A475" s="704"/>
    </row>
    <row r="476" ht="12.75">
      <c r="A476" s="704"/>
    </row>
    <row r="477" ht="12.75">
      <c r="A477" s="704"/>
    </row>
    <row r="478" ht="12.75">
      <c r="A478" s="704"/>
    </row>
    <row r="479" ht="12.75">
      <c r="A479" s="704"/>
    </row>
    <row r="480" ht="12.75">
      <c r="A480" s="704"/>
    </row>
    <row r="481" ht="12.75">
      <c r="A481" s="704"/>
    </row>
    <row r="482" ht="12.75">
      <c r="A482" s="704"/>
    </row>
    <row r="483" ht="12.75">
      <c r="A483" s="704"/>
    </row>
    <row r="484" ht="12.75">
      <c r="A484" s="704"/>
    </row>
    <row r="485" ht="12.75">
      <c r="A485" s="704"/>
    </row>
    <row r="486" ht="12.75">
      <c r="A486" s="704"/>
    </row>
    <row r="487" ht="12.75">
      <c r="A487" s="704"/>
    </row>
    <row r="488" ht="12.75">
      <c r="A488" s="704"/>
    </row>
    <row r="489" ht="12.75">
      <c r="A489" s="704"/>
    </row>
    <row r="490" ht="12.75">
      <c r="A490" s="704"/>
    </row>
    <row r="491" ht="12.75">
      <c r="A491" s="704"/>
    </row>
    <row r="492" ht="12.75">
      <c r="A492" s="704"/>
    </row>
    <row r="493" ht="12.75">
      <c r="A493" s="704"/>
    </row>
    <row r="494" ht="12.75">
      <c r="A494" s="704"/>
    </row>
    <row r="495" ht="12.75">
      <c r="A495" s="704"/>
    </row>
    <row r="496" ht="12.75">
      <c r="A496" s="704"/>
    </row>
    <row r="497" ht="12.75">
      <c r="A497" s="704"/>
    </row>
    <row r="498" ht="12.75">
      <c r="A498" s="704"/>
    </row>
    <row r="499" ht="12.75">
      <c r="A499" s="704"/>
    </row>
    <row r="500" ht="12.75">
      <c r="A500" s="704"/>
    </row>
    <row r="501" ht="12.75">
      <c r="A501" s="704"/>
    </row>
    <row r="502" ht="12.75">
      <c r="A502" s="704"/>
    </row>
    <row r="503" ht="12.75">
      <c r="A503" s="704"/>
    </row>
    <row r="504" ht="12.75">
      <c r="A504" s="704"/>
    </row>
    <row r="505" ht="12.75">
      <c r="A505" s="704"/>
    </row>
    <row r="506" ht="12.75">
      <c r="A506" s="704"/>
    </row>
    <row r="507" ht="12.75">
      <c r="A507" s="704"/>
    </row>
    <row r="508" ht="12.75">
      <c r="A508" s="704"/>
    </row>
    <row r="509" ht="12.75">
      <c r="A509" s="704"/>
    </row>
    <row r="510" ht="12.75">
      <c r="A510" s="704"/>
    </row>
    <row r="511" ht="12.75">
      <c r="A511" s="704"/>
    </row>
    <row r="512" ht="12.75">
      <c r="A512" s="704"/>
    </row>
    <row r="513" ht="12.75">
      <c r="A513" s="704"/>
    </row>
    <row r="514" ht="12.75">
      <c r="A514" s="704"/>
    </row>
    <row r="515" ht="12.75">
      <c r="A515" s="704"/>
    </row>
    <row r="516" ht="12.75">
      <c r="A516" s="704"/>
    </row>
    <row r="517" ht="12.75">
      <c r="A517" s="704"/>
    </row>
    <row r="518" ht="12.75">
      <c r="A518" s="704"/>
    </row>
    <row r="519" ht="12.75">
      <c r="A519" s="704"/>
    </row>
    <row r="520" ht="12.75">
      <c r="A520" s="704"/>
    </row>
    <row r="521" ht="12.75">
      <c r="A521" s="704"/>
    </row>
    <row r="522" ht="12.75">
      <c r="A522" s="704"/>
    </row>
    <row r="523" ht="12.75">
      <c r="A523" s="704"/>
    </row>
    <row r="524" ht="12.75">
      <c r="A524" s="704"/>
    </row>
    <row r="525" ht="12.75">
      <c r="A525" s="704"/>
    </row>
    <row r="526" ht="12.75">
      <c r="A526" s="704"/>
    </row>
    <row r="527" ht="12.75">
      <c r="A527" s="704"/>
    </row>
    <row r="528" ht="12.75">
      <c r="A528" s="704"/>
    </row>
    <row r="529" ht="12.75">
      <c r="A529" s="704"/>
    </row>
    <row r="530" ht="12.75">
      <c r="A530" s="704"/>
    </row>
    <row r="531" ht="12.75">
      <c r="A531" s="704"/>
    </row>
    <row r="532" ht="12.75">
      <c r="A532" s="704"/>
    </row>
    <row r="533" ht="12.75">
      <c r="A533" s="704"/>
    </row>
    <row r="534" ht="12.75">
      <c r="A534" s="704"/>
    </row>
    <row r="535" ht="12.75">
      <c r="A535" s="704"/>
    </row>
    <row r="536" ht="12.75">
      <c r="A536" s="704"/>
    </row>
    <row r="537" ht="12.75">
      <c r="A537" s="704"/>
    </row>
    <row r="538" ht="12.75">
      <c r="A538" s="704"/>
    </row>
    <row r="539" ht="12.75">
      <c r="A539" s="704"/>
    </row>
    <row r="540" ht="12.75">
      <c r="A540" s="704"/>
    </row>
    <row r="541" ht="12.75">
      <c r="A541" s="704"/>
    </row>
    <row r="542" ht="12.75">
      <c r="A542" s="704"/>
    </row>
    <row r="543" ht="12.75">
      <c r="A543" s="704"/>
    </row>
    <row r="544" ht="12.75">
      <c r="A544" s="704"/>
    </row>
    <row r="545" ht="12.75">
      <c r="A545" s="704"/>
    </row>
    <row r="546" ht="12.75">
      <c r="A546" s="704"/>
    </row>
    <row r="547" ht="12.75">
      <c r="A547" s="704"/>
    </row>
    <row r="548" ht="12.75">
      <c r="A548" s="704"/>
    </row>
    <row r="549" ht="12.75">
      <c r="A549" s="704"/>
    </row>
    <row r="550" ht="12.75">
      <c r="A550" s="704"/>
    </row>
    <row r="551" ht="12.75">
      <c r="A551" s="704"/>
    </row>
    <row r="552" ht="12.75">
      <c r="A552" s="704"/>
    </row>
    <row r="553" ht="12.75">
      <c r="A553" s="704"/>
    </row>
    <row r="554" ht="12.75">
      <c r="A554" s="704"/>
    </row>
    <row r="555" ht="12.75">
      <c r="A555" s="704"/>
    </row>
    <row r="556" ht="12.75">
      <c r="A556" s="704"/>
    </row>
    <row r="557" ht="12.75">
      <c r="A557" s="704"/>
    </row>
    <row r="558" ht="12.75">
      <c r="A558" s="704"/>
    </row>
    <row r="559" ht="12.75">
      <c r="A559" s="704"/>
    </row>
    <row r="560" ht="12.75">
      <c r="A560" s="704"/>
    </row>
    <row r="561" ht="12.75">
      <c r="A561" s="704"/>
    </row>
    <row r="562" ht="12.75">
      <c r="A562" s="704"/>
    </row>
    <row r="563" ht="12.75">
      <c r="A563" s="704"/>
    </row>
    <row r="564" ht="12.75">
      <c r="A564" s="704"/>
    </row>
    <row r="565" ht="12.75">
      <c r="A565" s="704"/>
    </row>
    <row r="566" ht="12.75">
      <c r="A566" s="704"/>
    </row>
    <row r="567" ht="12.75">
      <c r="A567" s="704"/>
    </row>
    <row r="568" ht="12.75">
      <c r="A568" s="704"/>
    </row>
    <row r="569" ht="12.75">
      <c r="A569" s="704"/>
    </row>
    <row r="570" ht="12.75">
      <c r="A570" s="704"/>
    </row>
    <row r="571" ht="12.75">
      <c r="A571" s="704"/>
    </row>
    <row r="572" ht="12.75">
      <c r="A572" s="704"/>
    </row>
    <row r="573" ht="12.75">
      <c r="A573" s="704"/>
    </row>
    <row r="574" ht="12.75">
      <c r="A574" s="704"/>
    </row>
    <row r="575" ht="12.75">
      <c r="A575" s="704"/>
    </row>
    <row r="576" ht="12.75">
      <c r="A576" s="704"/>
    </row>
    <row r="577" ht="12.75">
      <c r="A577" s="704"/>
    </row>
    <row r="578" ht="12.75">
      <c r="A578" s="704"/>
    </row>
    <row r="579" ht="12.75">
      <c r="A579" s="704"/>
    </row>
    <row r="580" ht="12.75">
      <c r="A580" s="704"/>
    </row>
    <row r="581" ht="12.75">
      <c r="A581" s="704"/>
    </row>
    <row r="582" ht="12.75">
      <c r="A582" s="704"/>
    </row>
    <row r="583" ht="12.75">
      <c r="A583" s="704"/>
    </row>
    <row r="584" ht="12.75">
      <c r="A584" s="704"/>
    </row>
    <row r="585" ht="12.75">
      <c r="A585" s="704"/>
    </row>
    <row r="586" ht="12.75">
      <c r="A586" s="704"/>
    </row>
    <row r="587" ht="12.75">
      <c r="A587" s="704"/>
    </row>
    <row r="588" ht="12.75">
      <c r="A588" s="704"/>
    </row>
    <row r="589" ht="12.75">
      <c r="A589" s="704"/>
    </row>
    <row r="590" ht="12.75">
      <c r="A590" s="704"/>
    </row>
    <row r="591" ht="12.75">
      <c r="A591" s="704"/>
    </row>
    <row r="592" ht="12.75">
      <c r="A592" s="704"/>
    </row>
    <row r="593" ht="12.75">
      <c r="A593" s="704"/>
    </row>
    <row r="594" ht="12.75">
      <c r="A594" s="704"/>
    </row>
    <row r="595" ht="12.75">
      <c r="A595" s="704"/>
    </row>
    <row r="596" ht="12.75">
      <c r="A596" s="704"/>
    </row>
    <row r="597" ht="12.75">
      <c r="A597" s="704"/>
    </row>
    <row r="598" ht="12.75">
      <c r="A598" s="704"/>
    </row>
    <row r="599" ht="12.75">
      <c r="A599" s="704"/>
    </row>
    <row r="600" ht="12.75">
      <c r="A600" s="704"/>
    </row>
    <row r="601" ht="12.75">
      <c r="A601" s="704"/>
    </row>
    <row r="602" ht="12.75">
      <c r="A602" s="704"/>
    </row>
    <row r="603" ht="12.75">
      <c r="A603" s="704"/>
    </row>
    <row r="604" ht="12.75">
      <c r="A604" s="704"/>
    </row>
    <row r="605" ht="12.75">
      <c r="A605" s="704"/>
    </row>
    <row r="606" ht="12.75">
      <c r="A606" s="704"/>
    </row>
    <row r="607" ht="12.75">
      <c r="A607" s="704"/>
    </row>
    <row r="608" ht="12.75">
      <c r="A608" s="704"/>
    </row>
    <row r="609" ht="12.75">
      <c r="A609" s="704"/>
    </row>
    <row r="610" ht="12.75">
      <c r="A610" s="704"/>
    </row>
    <row r="611" ht="12.75">
      <c r="A611" s="704"/>
    </row>
    <row r="612" ht="12.75">
      <c r="A612" s="704"/>
    </row>
    <row r="613" ht="12.75">
      <c r="A613" s="704"/>
    </row>
    <row r="614" ht="12.75">
      <c r="A614" s="704"/>
    </row>
    <row r="615" ht="12.75">
      <c r="A615" s="704"/>
    </row>
    <row r="616" ht="12.75">
      <c r="A616" s="704"/>
    </row>
    <row r="617" ht="12.75">
      <c r="A617" s="704"/>
    </row>
    <row r="618" ht="12.75">
      <c r="A618" s="704"/>
    </row>
    <row r="619" ht="12.75">
      <c r="A619" s="704"/>
    </row>
    <row r="620" ht="12.75">
      <c r="A620" s="704"/>
    </row>
    <row r="621" ht="12.75">
      <c r="A621" s="704"/>
    </row>
    <row r="622" ht="12.75">
      <c r="A622" s="704"/>
    </row>
    <row r="623" ht="12.75">
      <c r="A623" s="704"/>
    </row>
    <row r="624" ht="12.75">
      <c r="A624" s="704"/>
    </row>
    <row r="625" ht="12.75">
      <c r="A625" s="704"/>
    </row>
    <row r="626" ht="12.75">
      <c r="A626" s="704"/>
    </row>
    <row r="627" ht="12.75">
      <c r="A627" s="704"/>
    </row>
    <row r="628" ht="12.75">
      <c r="A628" s="704"/>
    </row>
    <row r="629" ht="12.75">
      <c r="A629" s="704"/>
    </row>
    <row r="630" ht="12.75">
      <c r="A630" s="704"/>
    </row>
    <row r="631" ht="12.75">
      <c r="A631" s="704"/>
    </row>
    <row r="632" ht="12.75">
      <c r="A632" s="704"/>
    </row>
    <row r="633" ht="12.75">
      <c r="A633" s="704"/>
    </row>
    <row r="634" ht="12.75">
      <c r="A634" s="704"/>
    </row>
    <row r="635" ht="12.75">
      <c r="A635" s="704"/>
    </row>
    <row r="636" ht="12.75">
      <c r="A636" s="704"/>
    </row>
    <row r="637" ht="12.75">
      <c r="A637" s="704"/>
    </row>
    <row r="638" ht="12.75">
      <c r="A638" s="704"/>
    </row>
    <row r="639" ht="12.75">
      <c r="A639" s="704"/>
    </row>
    <row r="640" ht="12.75">
      <c r="A640" s="704"/>
    </row>
    <row r="641" ht="12.75">
      <c r="A641" s="704"/>
    </row>
    <row r="642" ht="12.75">
      <c r="A642" s="704"/>
    </row>
    <row r="643" ht="12.75">
      <c r="A643" s="704"/>
    </row>
    <row r="644" ht="12.75">
      <c r="A644" s="704"/>
    </row>
    <row r="645" ht="12.75">
      <c r="A645" s="704"/>
    </row>
    <row r="646" ht="12.75">
      <c r="A646" s="704"/>
    </row>
    <row r="647" ht="12.75">
      <c r="A647" s="704"/>
    </row>
    <row r="648" ht="12.75">
      <c r="A648" s="704"/>
    </row>
    <row r="649" ht="12.75">
      <c r="A649" s="704"/>
    </row>
    <row r="650" ht="12.75">
      <c r="A650" s="704"/>
    </row>
    <row r="651" ht="12.75">
      <c r="A651" s="704"/>
    </row>
    <row r="652" ht="12.75">
      <c r="A652" s="704"/>
    </row>
    <row r="653" ht="12.75">
      <c r="A653" s="704"/>
    </row>
    <row r="654" ht="12.75">
      <c r="A654" s="704"/>
    </row>
    <row r="655" ht="12.75">
      <c r="A655" s="704"/>
    </row>
    <row r="656" ht="12.75">
      <c r="A656" s="704"/>
    </row>
    <row r="657" ht="12.75">
      <c r="A657" s="704"/>
    </row>
    <row r="658" ht="12.75">
      <c r="A658" s="704"/>
    </row>
    <row r="659" ht="12.75">
      <c r="A659" s="704"/>
    </row>
    <row r="660" ht="12.75">
      <c r="A660" s="704"/>
    </row>
    <row r="661" ht="12.75">
      <c r="A661" s="704"/>
    </row>
    <row r="662" ht="12.75">
      <c r="A662" s="704"/>
    </row>
    <row r="663" ht="12.75">
      <c r="A663" s="704"/>
    </row>
    <row r="664" ht="12.75">
      <c r="A664" s="704"/>
    </row>
    <row r="665" ht="12.75">
      <c r="A665" s="704"/>
    </row>
    <row r="666" ht="12.75">
      <c r="A666" s="704"/>
    </row>
    <row r="667" ht="12.75">
      <c r="A667" s="704"/>
    </row>
    <row r="668" ht="12.75">
      <c r="A668" s="704"/>
    </row>
    <row r="669" ht="12.75">
      <c r="A669" s="704"/>
    </row>
    <row r="670" ht="12.75">
      <c r="A670" s="704"/>
    </row>
    <row r="671" ht="12.75">
      <c r="A671" s="704"/>
    </row>
    <row r="672" ht="12.75">
      <c r="A672" s="704"/>
    </row>
    <row r="673" ht="12.75">
      <c r="A673" s="704"/>
    </row>
    <row r="674" ht="12.75">
      <c r="A674" s="704"/>
    </row>
    <row r="675" ht="12.75">
      <c r="A675" s="704"/>
    </row>
    <row r="676" ht="12.75">
      <c r="A676" s="704"/>
    </row>
    <row r="677" ht="12.75">
      <c r="A677" s="704"/>
    </row>
    <row r="678" ht="12.75">
      <c r="A678" s="704"/>
    </row>
    <row r="679" ht="12.75">
      <c r="A679" s="704"/>
    </row>
    <row r="680" ht="12.75">
      <c r="A680" s="704"/>
    </row>
    <row r="681" ht="12.75">
      <c r="A681" s="704"/>
    </row>
    <row r="682" ht="12.75">
      <c r="A682" s="704"/>
    </row>
    <row r="683" ht="12.75">
      <c r="A683" s="704"/>
    </row>
    <row r="684" ht="12.75">
      <c r="A684" s="704"/>
    </row>
    <row r="685" ht="12.75">
      <c r="A685" s="704"/>
    </row>
    <row r="686" ht="12.75">
      <c r="A686" s="704"/>
    </row>
    <row r="687" ht="12.75">
      <c r="A687" s="704"/>
    </row>
    <row r="688" ht="12.75">
      <c r="A688" s="704"/>
    </row>
    <row r="689" ht="12.75">
      <c r="A689" s="704"/>
    </row>
    <row r="690" ht="12.75">
      <c r="A690" s="704"/>
    </row>
    <row r="691" ht="12.75">
      <c r="A691" s="704"/>
    </row>
    <row r="692" ht="12.75">
      <c r="A692" s="704"/>
    </row>
    <row r="693" ht="12.75">
      <c r="A693" s="704"/>
    </row>
    <row r="694" ht="12.75">
      <c r="A694" s="704"/>
    </row>
    <row r="695" ht="12.75">
      <c r="A695" s="704"/>
    </row>
    <row r="696" ht="12.75">
      <c r="A696" s="704"/>
    </row>
    <row r="697" ht="12.75">
      <c r="A697" s="704"/>
    </row>
    <row r="698" ht="12.75">
      <c r="A698" s="704"/>
    </row>
    <row r="699" ht="12.75">
      <c r="A699" s="704"/>
    </row>
    <row r="700" ht="12.75">
      <c r="A700" s="704"/>
    </row>
    <row r="701" ht="12.75">
      <c r="A701" s="704"/>
    </row>
    <row r="702" ht="12.75">
      <c r="A702" s="704"/>
    </row>
    <row r="703" ht="12.75">
      <c r="A703" s="704"/>
    </row>
    <row r="704" ht="12.75">
      <c r="A704" s="704"/>
    </row>
    <row r="705" ht="12.75">
      <c r="A705" s="704"/>
    </row>
    <row r="706" ht="12.75">
      <c r="A706" s="704"/>
    </row>
    <row r="707" ht="12.75">
      <c r="A707" s="704"/>
    </row>
    <row r="708" ht="12.75">
      <c r="A708" s="704"/>
    </row>
    <row r="709" ht="12.75">
      <c r="A709" s="704"/>
    </row>
    <row r="710" ht="12.75">
      <c r="A710" s="704"/>
    </row>
    <row r="711" ht="12.75">
      <c r="A711" s="704"/>
    </row>
    <row r="712" ht="12.75">
      <c r="A712" s="704"/>
    </row>
    <row r="713" ht="12.75">
      <c r="A713" s="704"/>
    </row>
    <row r="714" ht="12.75">
      <c r="A714" s="704"/>
    </row>
    <row r="715" ht="12.75">
      <c r="A715" s="704"/>
    </row>
    <row r="716" ht="12.75">
      <c r="A716" s="704"/>
    </row>
    <row r="717" ht="12.75">
      <c r="A717" s="704"/>
    </row>
    <row r="718" ht="12.75">
      <c r="A718" s="704"/>
    </row>
    <row r="719" ht="12.75">
      <c r="A719" s="704"/>
    </row>
    <row r="720" ht="12.75">
      <c r="A720" s="704"/>
    </row>
    <row r="721" ht="12.75">
      <c r="A721" s="704"/>
    </row>
    <row r="722" ht="12.75">
      <c r="A722" s="704"/>
    </row>
    <row r="723" ht="12.75">
      <c r="A723" s="704"/>
    </row>
    <row r="724" ht="12.75">
      <c r="A724" s="704"/>
    </row>
    <row r="725" ht="12.75">
      <c r="A725" s="704"/>
    </row>
    <row r="726" ht="12.75">
      <c r="A726" s="704"/>
    </row>
    <row r="727" ht="12.75">
      <c r="A727" s="704"/>
    </row>
    <row r="728" ht="12.75">
      <c r="A728" s="704"/>
    </row>
    <row r="729" ht="12.75">
      <c r="A729" s="704"/>
    </row>
    <row r="730" ht="12.75">
      <c r="A730" s="704"/>
    </row>
    <row r="731" ht="12.75">
      <c r="A731" s="704"/>
    </row>
    <row r="732" ht="12.75">
      <c r="A732" s="704"/>
    </row>
    <row r="733" ht="12.75">
      <c r="A733" s="704"/>
    </row>
    <row r="734" ht="12.75">
      <c r="A734" s="704"/>
    </row>
    <row r="735" ht="12.75">
      <c r="A735" s="704"/>
    </row>
    <row r="736" ht="12.75">
      <c r="A736" s="704"/>
    </row>
    <row r="737" ht="12.75">
      <c r="A737" s="704"/>
    </row>
    <row r="738" ht="12.75">
      <c r="A738" s="704"/>
    </row>
    <row r="739" ht="12.75">
      <c r="A739" s="704"/>
    </row>
    <row r="740" ht="12.75">
      <c r="A740" s="704"/>
    </row>
    <row r="741" ht="12.75">
      <c r="A741" s="704"/>
    </row>
    <row r="742" ht="12.75">
      <c r="A742" s="704"/>
    </row>
    <row r="743" ht="12.75">
      <c r="A743" s="704"/>
    </row>
    <row r="744" ht="12.75">
      <c r="A744" s="704"/>
    </row>
    <row r="745" ht="12.75">
      <c r="A745" s="704"/>
    </row>
    <row r="746" ht="12.75">
      <c r="A746" s="704"/>
    </row>
    <row r="747" ht="12.75">
      <c r="A747" s="704"/>
    </row>
    <row r="748" ht="12.75">
      <c r="A748" s="704"/>
    </row>
    <row r="749" ht="12.75">
      <c r="A749" s="704"/>
    </row>
    <row r="750" ht="12.75">
      <c r="A750" s="704"/>
    </row>
    <row r="751" ht="12.75">
      <c r="A751" s="704"/>
    </row>
    <row r="752" ht="12.75">
      <c r="A752" s="704"/>
    </row>
    <row r="753" ht="12.75">
      <c r="A753" s="704"/>
    </row>
    <row r="754" ht="12.75">
      <c r="A754" s="704"/>
    </row>
    <row r="755" ht="12.75">
      <c r="A755" s="704"/>
    </row>
    <row r="756" ht="12.75">
      <c r="A756" s="704"/>
    </row>
    <row r="757" ht="12.75">
      <c r="A757" s="704"/>
    </row>
    <row r="758" ht="12.75">
      <c r="A758" s="704"/>
    </row>
    <row r="759" ht="12.75">
      <c r="A759" s="704"/>
    </row>
    <row r="760" ht="12.75">
      <c r="A760" s="704"/>
    </row>
    <row r="761" ht="12.75">
      <c r="A761" s="704"/>
    </row>
    <row r="762" ht="12.75">
      <c r="A762" s="704"/>
    </row>
    <row r="763" ht="12.75">
      <c r="A763" s="704"/>
    </row>
    <row r="764" ht="12.75">
      <c r="A764" s="704"/>
    </row>
    <row r="765" ht="12.75">
      <c r="A765" s="704"/>
    </row>
    <row r="766" ht="12.75">
      <c r="A766" s="704"/>
    </row>
    <row r="767" ht="12.75">
      <c r="A767" s="704"/>
    </row>
    <row r="768" ht="12.75">
      <c r="A768" s="704"/>
    </row>
    <row r="769" ht="12.75">
      <c r="A769" s="704"/>
    </row>
    <row r="770" ht="12.75">
      <c r="A770" s="704"/>
    </row>
    <row r="771" ht="12.75">
      <c r="A771" s="704"/>
    </row>
    <row r="772" ht="12.75">
      <c r="A772" s="704"/>
    </row>
    <row r="773" ht="12.75">
      <c r="A773" s="704"/>
    </row>
    <row r="774" ht="12.75">
      <c r="A774" s="704"/>
    </row>
    <row r="775" ht="12.75">
      <c r="A775" s="704"/>
    </row>
    <row r="776" ht="12.75">
      <c r="A776" s="704"/>
    </row>
    <row r="777" ht="12.75">
      <c r="A777" s="704"/>
    </row>
    <row r="778" ht="12.75">
      <c r="A778" s="704"/>
    </row>
    <row r="779" ht="12.75">
      <c r="A779" s="704"/>
    </row>
    <row r="780" ht="12.75">
      <c r="A780" s="704"/>
    </row>
    <row r="781" ht="12.75">
      <c r="A781" s="704"/>
    </row>
    <row r="782" ht="12.75">
      <c r="A782" s="704"/>
    </row>
    <row r="783" ht="12.75">
      <c r="A783" s="704"/>
    </row>
    <row r="784" ht="12.75">
      <c r="A784" s="704"/>
    </row>
    <row r="785" ht="12.75">
      <c r="A785" s="704"/>
    </row>
    <row r="786" ht="12.75">
      <c r="A786" s="704"/>
    </row>
    <row r="787" ht="12.75">
      <c r="A787" s="704"/>
    </row>
    <row r="788" ht="12.75">
      <c r="A788" s="704"/>
    </row>
    <row r="789" ht="12.75">
      <c r="A789" s="704"/>
    </row>
    <row r="790" ht="12.75">
      <c r="A790" s="704"/>
    </row>
    <row r="791" ht="12.75">
      <c r="A791" s="704"/>
    </row>
    <row r="792" ht="12.75">
      <c r="A792" s="704"/>
    </row>
    <row r="793" ht="12.75">
      <c r="A793" s="704"/>
    </row>
    <row r="794" ht="12.75">
      <c r="A794" s="704"/>
    </row>
    <row r="795" ht="12.75">
      <c r="A795" s="704"/>
    </row>
    <row r="796" ht="12.75">
      <c r="A796" s="704"/>
    </row>
    <row r="797" ht="12.75">
      <c r="A797" s="704"/>
    </row>
    <row r="798" ht="12.75">
      <c r="A798" s="704"/>
    </row>
    <row r="799" ht="12.75">
      <c r="A799" s="704"/>
    </row>
    <row r="800" ht="12.75">
      <c r="A800" s="704"/>
    </row>
    <row r="801" ht="12.75">
      <c r="A801" s="704"/>
    </row>
    <row r="802" ht="12.75">
      <c r="A802" s="704"/>
    </row>
    <row r="803" ht="12.75">
      <c r="A803" s="704"/>
    </row>
    <row r="804" ht="12.75">
      <c r="A804" s="704"/>
    </row>
    <row r="805" ht="12.75">
      <c r="A805" s="704"/>
    </row>
    <row r="806" ht="12.75">
      <c r="A806" s="704"/>
    </row>
    <row r="807" ht="12.75">
      <c r="A807" s="704"/>
    </row>
    <row r="808" ht="12.75">
      <c r="A808" s="704"/>
    </row>
    <row r="809" ht="12.75">
      <c r="A809" s="704"/>
    </row>
    <row r="810" ht="12.75">
      <c r="A810" s="704"/>
    </row>
    <row r="811" ht="12.75">
      <c r="A811" s="704"/>
    </row>
    <row r="812" ht="12.75">
      <c r="A812" s="704"/>
    </row>
    <row r="813" ht="12.75">
      <c r="A813" s="704"/>
    </row>
    <row r="814" ht="12.75">
      <c r="A814" s="704"/>
    </row>
    <row r="815" ht="12.75">
      <c r="A815" s="704"/>
    </row>
    <row r="816" ht="12.75">
      <c r="A816" s="704"/>
    </row>
    <row r="817" ht="12.75">
      <c r="A817" s="704"/>
    </row>
    <row r="818" ht="12.75">
      <c r="A818" s="704"/>
    </row>
    <row r="819" ht="12.75">
      <c r="A819" s="704"/>
    </row>
    <row r="820" ht="12.75">
      <c r="A820" s="704"/>
    </row>
    <row r="821" ht="12.75">
      <c r="A821" s="704"/>
    </row>
    <row r="822" ht="12.75">
      <c r="A822" s="704"/>
    </row>
    <row r="823" ht="12.75">
      <c r="A823" s="704"/>
    </row>
    <row r="824" ht="12.75">
      <c r="A824" s="704"/>
    </row>
    <row r="825" ht="12.75">
      <c r="A825" s="704"/>
    </row>
    <row r="826" ht="12.75">
      <c r="A826" s="704"/>
    </row>
    <row r="827" ht="12.75">
      <c r="A827" s="704"/>
    </row>
    <row r="828" ht="12.75">
      <c r="A828" s="704"/>
    </row>
    <row r="829" ht="12.75">
      <c r="A829" s="704"/>
    </row>
    <row r="830" ht="12.75">
      <c r="A830" s="704"/>
    </row>
    <row r="831" ht="12.75">
      <c r="A831" s="704"/>
    </row>
    <row r="832" ht="12.75">
      <c r="A832" s="704"/>
    </row>
    <row r="833" ht="12.75">
      <c r="A833" s="704"/>
    </row>
    <row r="834" ht="12.75">
      <c r="A834" s="704"/>
    </row>
    <row r="835" ht="12.75">
      <c r="A835" s="704"/>
    </row>
    <row r="836" ht="12.75">
      <c r="A836" s="704"/>
    </row>
    <row r="837" ht="12.75">
      <c r="A837" s="704"/>
    </row>
    <row r="838" ht="12.75">
      <c r="A838" s="704"/>
    </row>
    <row r="839" ht="12.75">
      <c r="A839" s="704"/>
    </row>
    <row r="840" ht="12.75">
      <c r="A840" s="704"/>
    </row>
    <row r="841" ht="12.75">
      <c r="A841" s="704"/>
    </row>
    <row r="842" ht="12.75">
      <c r="A842" s="704"/>
    </row>
    <row r="843" ht="12.75">
      <c r="A843" s="704"/>
    </row>
    <row r="844" ht="12.75">
      <c r="A844" s="704"/>
    </row>
    <row r="845" ht="12.75">
      <c r="A845" s="704"/>
    </row>
    <row r="846" ht="12.75">
      <c r="A846" s="704"/>
    </row>
    <row r="847" ht="12.75">
      <c r="A847" s="704"/>
    </row>
    <row r="848" ht="12.75">
      <c r="A848" s="704"/>
    </row>
    <row r="849" ht="12.75">
      <c r="A849" s="704"/>
    </row>
    <row r="850" ht="12.75">
      <c r="A850" s="704"/>
    </row>
    <row r="851" ht="12.75">
      <c r="A851" s="704"/>
    </row>
    <row r="852" ht="12.75">
      <c r="A852" s="704"/>
    </row>
    <row r="853" ht="12.75">
      <c r="A853" s="704"/>
    </row>
    <row r="854" ht="12.75">
      <c r="A854" s="704"/>
    </row>
    <row r="855" ht="12.75">
      <c r="A855" s="704"/>
    </row>
    <row r="856" ht="12.75">
      <c r="A856" s="704"/>
    </row>
    <row r="857" ht="12.75">
      <c r="A857" s="704"/>
    </row>
    <row r="858" ht="12.75">
      <c r="A858" s="704"/>
    </row>
    <row r="859" ht="12.75">
      <c r="A859" s="704"/>
    </row>
    <row r="860" ht="12.75">
      <c r="A860" s="704"/>
    </row>
    <row r="861" ht="12.75">
      <c r="A861" s="704"/>
    </row>
    <row r="862" ht="12.75">
      <c r="A862" s="704"/>
    </row>
    <row r="863" ht="12.75">
      <c r="A863" s="704"/>
    </row>
    <row r="864" ht="12.75">
      <c r="A864" s="704"/>
    </row>
    <row r="865" ht="12.75">
      <c r="A865" s="704"/>
    </row>
    <row r="866" ht="12.75">
      <c r="A866" s="704"/>
    </row>
    <row r="867" ht="12.75">
      <c r="A867" s="704"/>
    </row>
    <row r="868" ht="12.75">
      <c r="A868" s="704"/>
    </row>
    <row r="869" ht="12.75">
      <c r="A869" s="704"/>
    </row>
    <row r="870" ht="12.75">
      <c r="A870" s="704"/>
    </row>
    <row r="871" ht="12.75">
      <c r="A871" s="704"/>
    </row>
    <row r="872" ht="12.75">
      <c r="A872" s="704"/>
    </row>
    <row r="873" ht="12.75">
      <c r="A873" s="704"/>
    </row>
    <row r="874" ht="12.75">
      <c r="A874" s="704"/>
    </row>
    <row r="875" ht="12.75">
      <c r="A875" s="704"/>
    </row>
    <row r="876" ht="12.75">
      <c r="A876" s="704"/>
    </row>
    <row r="877" ht="12.75">
      <c r="A877" s="704"/>
    </row>
    <row r="878" ht="12.75">
      <c r="A878" s="704"/>
    </row>
    <row r="879" ht="12.75">
      <c r="A879" s="704"/>
    </row>
    <row r="880" ht="12.75">
      <c r="A880" s="704"/>
    </row>
    <row r="881" ht="12.75">
      <c r="A881" s="704"/>
    </row>
    <row r="882" ht="12.75">
      <c r="A882" s="704"/>
    </row>
    <row r="883" ht="12.75">
      <c r="A883" s="704"/>
    </row>
    <row r="884" ht="12.75">
      <c r="A884" s="704"/>
    </row>
    <row r="885" ht="12.75">
      <c r="A885" s="704"/>
    </row>
    <row r="886" ht="12.75">
      <c r="A886" s="704"/>
    </row>
    <row r="887" ht="12.75">
      <c r="A887" s="704"/>
    </row>
    <row r="888" ht="12.75">
      <c r="A888" s="704"/>
    </row>
    <row r="889" ht="12.75">
      <c r="A889" s="704"/>
    </row>
    <row r="890" ht="12.75">
      <c r="A890" s="704"/>
    </row>
    <row r="891" ht="12.75">
      <c r="A891" s="704"/>
    </row>
    <row r="892" ht="12.75">
      <c r="A892" s="704"/>
    </row>
    <row r="893" ht="12.75">
      <c r="A893" s="704"/>
    </row>
    <row r="894" ht="12.75">
      <c r="A894" s="704"/>
    </row>
    <row r="895" ht="12.75">
      <c r="A895" s="704"/>
    </row>
    <row r="896" ht="12.75">
      <c r="A896" s="704"/>
    </row>
    <row r="897" ht="12.75">
      <c r="A897" s="704"/>
    </row>
    <row r="898" ht="12.75">
      <c r="A898" s="704"/>
    </row>
    <row r="899" ht="12.75">
      <c r="A899" s="704"/>
    </row>
    <row r="900" ht="12.75">
      <c r="A900" s="704"/>
    </row>
    <row r="901" ht="12.75">
      <c r="A901" s="704"/>
    </row>
    <row r="902" ht="12.75">
      <c r="A902" s="704"/>
    </row>
    <row r="903" ht="12.75">
      <c r="A903" s="704"/>
    </row>
    <row r="904" ht="12.75">
      <c r="A904" s="704"/>
    </row>
    <row r="905" ht="12.75">
      <c r="A905" s="704"/>
    </row>
    <row r="906" ht="12.75">
      <c r="A906" s="704"/>
    </row>
    <row r="907" ht="12.75">
      <c r="A907" s="704"/>
    </row>
    <row r="908" ht="12.75">
      <c r="A908" s="704"/>
    </row>
    <row r="909" ht="12.75">
      <c r="A909" s="704"/>
    </row>
    <row r="910" ht="12.75">
      <c r="A910" s="704"/>
    </row>
    <row r="911" ht="12.75">
      <c r="A911" s="704"/>
    </row>
    <row r="912" ht="12.75">
      <c r="A912" s="704"/>
    </row>
    <row r="913" ht="12.75">
      <c r="A913" s="704"/>
    </row>
    <row r="914" ht="12.75">
      <c r="A914" s="704"/>
    </row>
    <row r="915" ht="12.75">
      <c r="A915" s="704"/>
    </row>
    <row r="916" ht="12.75">
      <c r="A916" s="704"/>
    </row>
    <row r="917" ht="12.75">
      <c r="A917" s="704"/>
    </row>
    <row r="918" ht="12.75">
      <c r="A918" s="704"/>
    </row>
    <row r="919" ht="12.75">
      <c r="A919" s="704"/>
    </row>
    <row r="920" ht="12.75">
      <c r="A920" s="704"/>
    </row>
    <row r="921" ht="12.75">
      <c r="A921" s="704"/>
    </row>
    <row r="922" ht="12.75">
      <c r="A922" s="704"/>
    </row>
    <row r="923" ht="12.75">
      <c r="A923" s="704"/>
    </row>
    <row r="924" ht="12.75">
      <c r="A924" s="704"/>
    </row>
    <row r="925" ht="12.75">
      <c r="A925" s="704"/>
    </row>
    <row r="926" ht="12.75">
      <c r="A926" s="704"/>
    </row>
    <row r="927" ht="12.75">
      <c r="A927" s="704"/>
    </row>
    <row r="928" ht="12.75">
      <c r="A928" s="704"/>
    </row>
    <row r="929" ht="12.75">
      <c r="A929" s="704"/>
    </row>
    <row r="930" ht="12.75">
      <c r="A930" s="704"/>
    </row>
    <row r="931" ht="12.75">
      <c r="A931" s="704"/>
    </row>
    <row r="932" ht="12.75">
      <c r="A932" s="704"/>
    </row>
    <row r="933" ht="12.75">
      <c r="A933" s="704"/>
    </row>
    <row r="934" ht="12.75">
      <c r="A934" s="704"/>
    </row>
    <row r="935" ht="12.75">
      <c r="A935" s="704"/>
    </row>
    <row r="936" ht="12.75">
      <c r="A936" s="704"/>
    </row>
    <row r="937" ht="12.75">
      <c r="A937" s="704"/>
    </row>
    <row r="938" ht="12.75">
      <c r="A938" s="704"/>
    </row>
    <row r="939" ht="12.75">
      <c r="A939" s="704"/>
    </row>
    <row r="940" ht="12.75">
      <c r="A940" s="704"/>
    </row>
    <row r="941" ht="12.75">
      <c r="A941" s="704"/>
    </row>
    <row r="942" ht="12.75">
      <c r="A942" s="704"/>
    </row>
    <row r="943" ht="12.75">
      <c r="A943" s="704"/>
    </row>
    <row r="944" ht="12.75">
      <c r="A944" s="704"/>
    </row>
    <row r="945" ht="12.75">
      <c r="A945" s="704"/>
    </row>
    <row r="946" ht="12.75">
      <c r="A946" s="704"/>
    </row>
    <row r="947" ht="12.75">
      <c r="A947" s="704"/>
    </row>
    <row r="948" ht="12.75">
      <c r="A948" s="704"/>
    </row>
    <row r="949" ht="12.75">
      <c r="A949" s="704"/>
    </row>
    <row r="950" ht="12.75">
      <c r="A950" s="704"/>
    </row>
    <row r="951" ht="12.75">
      <c r="A951" s="704"/>
    </row>
    <row r="952" ht="12.75">
      <c r="A952" s="704"/>
    </row>
    <row r="953" ht="12.75">
      <c r="A953" s="704"/>
    </row>
    <row r="954" ht="12.75">
      <c r="A954" s="704"/>
    </row>
    <row r="955" ht="12.75">
      <c r="A955" s="704"/>
    </row>
    <row r="956" ht="12.75">
      <c r="A956" s="704"/>
    </row>
    <row r="957" ht="12.75">
      <c r="A957" s="704"/>
    </row>
    <row r="958" ht="12.75">
      <c r="A958" s="704"/>
    </row>
    <row r="959" ht="12.75">
      <c r="A959" s="704"/>
    </row>
    <row r="960" ht="12.75">
      <c r="A960" s="704"/>
    </row>
    <row r="961" ht="12.75">
      <c r="A961" s="704"/>
    </row>
    <row r="962" ht="12.75">
      <c r="A962" s="704"/>
    </row>
    <row r="963" ht="12.75">
      <c r="A963" s="704"/>
    </row>
    <row r="964" ht="12.75">
      <c r="A964" s="704"/>
    </row>
    <row r="965" ht="12.75">
      <c r="A965" s="704"/>
    </row>
    <row r="966" ht="12.75">
      <c r="A966" s="704"/>
    </row>
    <row r="967" ht="12.75">
      <c r="A967" s="704"/>
    </row>
    <row r="968" ht="12.75">
      <c r="A968" s="704"/>
    </row>
    <row r="969" ht="12.75">
      <c r="A969" s="704"/>
    </row>
    <row r="970" ht="12.75">
      <c r="A970" s="704"/>
    </row>
    <row r="971" ht="12.75">
      <c r="A971" s="704"/>
    </row>
    <row r="972" ht="12.75">
      <c r="A972" s="704"/>
    </row>
    <row r="973" ht="12.75">
      <c r="A973" s="704"/>
    </row>
    <row r="974" ht="12.75">
      <c r="A974" s="704"/>
    </row>
    <row r="975" ht="12.75">
      <c r="A975" s="704"/>
    </row>
    <row r="976" ht="12.75">
      <c r="A976" s="704"/>
    </row>
    <row r="977" ht="12.75">
      <c r="A977" s="704"/>
    </row>
    <row r="978" ht="12.75">
      <c r="A978" s="704"/>
    </row>
    <row r="979" ht="12.75">
      <c r="A979" s="704"/>
    </row>
    <row r="980" ht="12.75">
      <c r="A980" s="704"/>
    </row>
    <row r="981" ht="12.75">
      <c r="A981" s="704"/>
    </row>
    <row r="982" ht="12.75">
      <c r="A982" s="704"/>
    </row>
    <row r="983" ht="12.75">
      <c r="A983" s="704"/>
    </row>
    <row r="984" ht="12.75">
      <c r="A984" s="704"/>
    </row>
    <row r="985" ht="12.75">
      <c r="A985" s="704"/>
    </row>
    <row r="986" ht="12.75">
      <c r="A986" s="704"/>
    </row>
    <row r="987" ht="12.75">
      <c r="A987" s="704"/>
    </row>
    <row r="988" ht="12.75">
      <c r="A988" s="704"/>
    </row>
    <row r="989" ht="12.75">
      <c r="A989" s="704"/>
    </row>
    <row r="990" ht="12.75">
      <c r="A990" s="704"/>
    </row>
    <row r="991" ht="12.75">
      <c r="A991" s="704"/>
    </row>
    <row r="992" ht="12.75">
      <c r="A992" s="704"/>
    </row>
    <row r="993" ht="12.75">
      <c r="A993" s="704"/>
    </row>
    <row r="994" ht="12.75">
      <c r="A994" s="704"/>
    </row>
    <row r="995" ht="12.75">
      <c r="A995" s="704"/>
    </row>
    <row r="996" ht="12.75">
      <c r="A996" s="704"/>
    </row>
    <row r="997" ht="12.75">
      <c r="A997" s="704"/>
    </row>
    <row r="998" ht="12.75">
      <c r="A998" s="704"/>
    </row>
    <row r="999" ht="12.75">
      <c r="A999" s="704"/>
    </row>
    <row r="1000" ht="12.75">
      <c r="A1000" s="704"/>
    </row>
    <row r="1001" ht="12.75">
      <c r="A1001" s="704"/>
    </row>
    <row r="1002" ht="12.75">
      <c r="A1002" s="704"/>
    </row>
    <row r="1003" ht="12.75">
      <c r="A1003" s="704"/>
    </row>
    <row r="1004" ht="12.75">
      <c r="A1004" s="704"/>
    </row>
    <row r="1005" ht="12.75">
      <c r="A1005" s="704"/>
    </row>
    <row r="1006" ht="12.75">
      <c r="A1006" s="704"/>
    </row>
    <row r="1007" ht="12.75">
      <c r="A1007" s="704"/>
    </row>
    <row r="1008" ht="12.75">
      <c r="A1008" s="704"/>
    </row>
    <row r="1009" ht="12.75">
      <c r="A1009" s="704"/>
    </row>
    <row r="1010" ht="12.75">
      <c r="A1010" s="704"/>
    </row>
    <row r="1011" ht="12.75">
      <c r="A1011" s="704"/>
    </row>
    <row r="1012" ht="12.75">
      <c r="A1012" s="704"/>
    </row>
    <row r="1013" ht="12.75">
      <c r="A1013" s="704"/>
    </row>
    <row r="1014" ht="12.75">
      <c r="A1014" s="704"/>
    </row>
    <row r="1015" ht="12.75">
      <c r="A1015" s="704"/>
    </row>
    <row r="1016" ht="12.75">
      <c r="A1016" s="704"/>
    </row>
    <row r="1017" ht="12.75">
      <c r="A1017" s="704"/>
    </row>
    <row r="1018" ht="12.75">
      <c r="A1018" s="704"/>
    </row>
    <row r="1019" ht="12.75">
      <c r="A1019" s="704"/>
    </row>
    <row r="1020" ht="12.75">
      <c r="A1020" s="704"/>
    </row>
    <row r="1021" ht="12.75">
      <c r="A1021" s="704"/>
    </row>
    <row r="1022" ht="12.75">
      <c r="A1022" s="704"/>
    </row>
    <row r="1023" ht="12.75">
      <c r="A1023" s="704"/>
    </row>
    <row r="1024" ht="12.75">
      <c r="A1024" s="704"/>
    </row>
    <row r="1025" ht="12.75">
      <c r="A1025" s="704"/>
    </row>
    <row r="1026" ht="12.75">
      <c r="A1026" s="704"/>
    </row>
    <row r="1027" ht="12.75">
      <c r="A1027" s="704"/>
    </row>
    <row r="1028" ht="12.75">
      <c r="A1028" s="704"/>
    </row>
    <row r="1029" ht="12.75">
      <c r="A1029" s="704"/>
    </row>
    <row r="1030" ht="12.75">
      <c r="A1030" s="704"/>
    </row>
    <row r="1031" ht="12.75">
      <c r="A1031" s="704"/>
    </row>
    <row r="1032" ht="12.75">
      <c r="A1032" s="704"/>
    </row>
    <row r="1033" ht="12.75">
      <c r="A1033" s="704"/>
    </row>
    <row r="1034" ht="12.75">
      <c r="A1034" s="704"/>
    </row>
    <row r="1035" ht="12.75">
      <c r="A1035" s="704"/>
    </row>
    <row r="1036" ht="12.75">
      <c r="A1036" s="704"/>
    </row>
    <row r="1037" ht="12.75">
      <c r="A1037" s="704"/>
    </row>
    <row r="1038" ht="12.75">
      <c r="A1038" s="704"/>
    </row>
    <row r="1039" ht="12.75">
      <c r="A1039" s="704"/>
    </row>
    <row r="1040" ht="12.75">
      <c r="A1040" s="704"/>
    </row>
    <row r="1041" ht="12.75">
      <c r="A1041" s="704"/>
    </row>
    <row r="1042" ht="12.75">
      <c r="A1042" s="704"/>
    </row>
    <row r="1043" ht="12.75">
      <c r="A1043" s="704"/>
    </row>
    <row r="1044" ht="12.75">
      <c r="A1044" s="704"/>
    </row>
    <row r="1045" ht="12.75">
      <c r="A1045" s="704"/>
    </row>
    <row r="1046" ht="12.75">
      <c r="A1046" s="704"/>
    </row>
    <row r="1047" ht="12.75">
      <c r="A1047" s="704"/>
    </row>
    <row r="1048" ht="12.75">
      <c r="A1048" s="704"/>
    </row>
    <row r="1049" ht="12.75">
      <c r="A1049" s="704"/>
    </row>
    <row r="1050" ht="12.75">
      <c r="A1050" s="704"/>
    </row>
    <row r="1051" ht="12.75">
      <c r="A1051" s="704"/>
    </row>
    <row r="1052" ht="12.75">
      <c r="A1052" s="704"/>
    </row>
    <row r="1053" ht="12.75">
      <c r="A1053" s="704"/>
    </row>
    <row r="1054" ht="12.75">
      <c r="A1054" s="704"/>
    </row>
    <row r="1055" ht="12.75">
      <c r="A1055" s="704"/>
    </row>
    <row r="1056" ht="12.75">
      <c r="A1056" s="704"/>
    </row>
    <row r="1057" ht="12.75">
      <c r="A1057" s="704"/>
    </row>
    <row r="1058" ht="12.75">
      <c r="A1058" s="704"/>
    </row>
    <row r="1059" ht="12.75">
      <c r="A1059" s="704"/>
    </row>
    <row r="1060" ht="12.75">
      <c r="A1060" s="704"/>
    </row>
    <row r="1061" ht="12.75">
      <c r="A1061" s="704"/>
    </row>
    <row r="1062" ht="12.75">
      <c r="A1062" s="704"/>
    </row>
    <row r="1063" ht="12.75">
      <c r="A1063" s="704"/>
    </row>
    <row r="1064" ht="12.75">
      <c r="A1064" s="704"/>
    </row>
    <row r="1065" ht="12.75">
      <c r="A1065" s="704"/>
    </row>
    <row r="1066" ht="12.75">
      <c r="A1066" s="704"/>
    </row>
    <row r="1067" ht="12.75">
      <c r="A1067" s="704"/>
    </row>
    <row r="1068" ht="12.75">
      <c r="A1068" s="704"/>
    </row>
    <row r="1069" ht="12.75">
      <c r="A1069" s="704"/>
    </row>
    <row r="1070" ht="12.75">
      <c r="A1070" s="704"/>
    </row>
    <row r="1071" ht="12.75">
      <c r="A1071" s="704"/>
    </row>
    <row r="1072" ht="12.75">
      <c r="A1072" s="704"/>
    </row>
    <row r="1073" ht="12.75">
      <c r="A1073" s="704"/>
    </row>
    <row r="1074" ht="12.75">
      <c r="A1074" s="704"/>
    </row>
    <row r="1075" ht="12.75">
      <c r="A1075" s="704"/>
    </row>
    <row r="1076" ht="12.75">
      <c r="A1076" s="704"/>
    </row>
    <row r="1077" ht="12.75">
      <c r="A1077" s="704"/>
    </row>
    <row r="1078" ht="12.75">
      <c r="A1078" s="704"/>
    </row>
    <row r="1079" ht="12.75">
      <c r="A1079" s="704"/>
    </row>
    <row r="1080" ht="12.75">
      <c r="A1080" s="704"/>
    </row>
    <row r="1081" ht="12.75">
      <c r="A1081" s="704"/>
    </row>
    <row r="1082" ht="12.75">
      <c r="A1082" s="704"/>
    </row>
    <row r="1083" ht="12.75">
      <c r="A1083" s="704"/>
    </row>
    <row r="1084" ht="12.75">
      <c r="A1084" s="704"/>
    </row>
    <row r="1085" ht="12.75">
      <c r="A1085" s="704"/>
    </row>
    <row r="1086" ht="12.75">
      <c r="A1086" s="704"/>
    </row>
    <row r="1087" ht="12.75">
      <c r="A1087" s="704"/>
    </row>
    <row r="1088" ht="12.75">
      <c r="A1088" s="704"/>
    </row>
    <row r="1089" ht="12.75">
      <c r="A1089" s="704"/>
    </row>
    <row r="1090" ht="12.75">
      <c r="A1090" s="704"/>
    </row>
    <row r="1091" ht="12.75">
      <c r="A1091" s="704"/>
    </row>
    <row r="1092" ht="12.75">
      <c r="A1092" s="704"/>
    </row>
    <row r="1093" ht="12.75">
      <c r="A1093" s="704"/>
    </row>
    <row r="1094" ht="12.75">
      <c r="A1094" s="704"/>
    </row>
    <row r="1095" ht="12.75">
      <c r="A1095" s="704"/>
    </row>
    <row r="1096" ht="12.75">
      <c r="A1096" s="704"/>
    </row>
    <row r="1097" ht="12.75">
      <c r="A1097" s="704"/>
    </row>
    <row r="1098" ht="12.75">
      <c r="A1098" s="704"/>
    </row>
    <row r="1099" ht="12.75">
      <c r="A1099" s="704"/>
    </row>
    <row r="1100" ht="12.75">
      <c r="A1100" s="704"/>
    </row>
    <row r="1101" ht="12.75">
      <c r="A1101" s="704"/>
    </row>
    <row r="1102" ht="12.75">
      <c r="A1102" s="704"/>
    </row>
    <row r="1103" ht="12.75">
      <c r="A1103" s="704"/>
    </row>
    <row r="1104" ht="12.75">
      <c r="A1104" s="704"/>
    </row>
    <row r="1105" ht="12.75">
      <c r="A1105" s="704"/>
    </row>
    <row r="1106" ht="12.75">
      <c r="A1106" s="704"/>
    </row>
    <row r="1107" ht="12.75">
      <c r="A1107" s="704"/>
    </row>
    <row r="1108" ht="12.75">
      <c r="A1108" s="704"/>
    </row>
    <row r="1109" ht="12.75">
      <c r="A1109" s="704"/>
    </row>
    <row r="1110" ht="12.75">
      <c r="A1110" s="704"/>
    </row>
    <row r="1111" ht="12.75">
      <c r="A1111" s="704"/>
    </row>
    <row r="1112" ht="12.75">
      <c r="A1112" s="704"/>
    </row>
    <row r="1113" ht="12.75">
      <c r="A1113" s="704"/>
    </row>
    <row r="1114" ht="12.75">
      <c r="A1114" s="704"/>
    </row>
    <row r="1115" ht="12.75">
      <c r="A1115" s="704"/>
    </row>
    <row r="1116" ht="12.75">
      <c r="A1116" s="704"/>
    </row>
    <row r="1117" ht="12.75">
      <c r="A1117" s="704"/>
    </row>
    <row r="1118" ht="12.75">
      <c r="A1118" s="704"/>
    </row>
    <row r="1119" ht="12.75">
      <c r="A1119" s="704"/>
    </row>
  </sheetData>
  <printOptions gridLines="1" horizontalCentered="1"/>
  <pageMargins left="0.22" right="0.2362204724409449" top="0.88" bottom="0.41" header="0.56" footer="0.15"/>
  <pageSetup firstPageNumber="2" useFirstPageNumber="1" horizontalDpi="600" verticalDpi="600" orientation="landscape" paperSize="9" scale="89" r:id="rId1"/>
  <headerFooter alignWithMargins="0">
    <oddHeader>&amp;Lv Kč&amp;C&amp;"Arial CE,Tučné"&amp;14Plnění příjmů k 31. 12. 2009&amp;"Arial CE,Obyčejné"
&amp;RPříloha č. 2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190"/>
  <sheetViews>
    <sheetView zoomScaleSheetLayoutView="100" workbookViewId="0" topLeftCell="A1">
      <pane xSplit="5" ySplit="1" topLeftCell="F11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80" sqref="E80"/>
    </sheetView>
  </sheetViews>
  <sheetFormatPr defaultColWidth="9.00390625" defaultRowHeight="12.75" outlineLevelCol="1"/>
  <cols>
    <col min="1" max="3" width="6.75390625" style="157" customWidth="1"/>
    <col min="4" max="4" width="4.625" style="157" customWidth="1"/>
    <col min="5" max="5" width="62.75390625" style="158" customWidth="1"/>
    <col min="6" max="6" width="16.00390625" style="179" customWidth="1"/>
    <col min="7" max="7" width="16.00390625" style="179" hidden="1" customWidth="1" outlineLevel="1"/>
    <col min="8" max="8" width="12.375" style="179" hidden="1" customWidth="1" outlineLevel="1"/>
    <col min="9" max="9" width="15.375" style="179" hidden="1" customWidth="1" collapsed="1"/>
    <col min="10" max="10" width="15.375" style="179" customWidth="1"/>
    <col min="11" max="11" width="15.375" style="179" customWidth="1" outlineLevel="1"/>
    <col min="12" max="12" width="8.625" style="179" customWidth="1" outlineLevel="1"/>
    <col min="13" max="13" width="14.125" style="179" hidden="1" customWidth="1" outlineLevel="1"/>
    <col min="14" max="14" width="14.00390625" style="179" hidden="1" customWidth="1" outlineLevel="1"/>
    <col min="15" max="15" width="29.375" style="160" customWidth="1" collapsed="1"/>
    <col min="16" max="21" width="9.125" style="67" customWidth="1"/>
    <col min="22" max="16384" width="9.125" style="72" customWidth="1"/>
  </cols>
  <sheetData>
    <row r="1" spans="1:15" s="57" customFormat="1" ht="54.75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340</v>
      </c>
      <c r="G1" s="56" t="s">
        <v>341</v>
      </c>
      <c r="H1" s="56" t="s">
        <v>342</v>
      </c>
      <c r="I1" s="56" t="s">
        <v>343</v>
      </c>
      <c r="J1" s="56" t="s">
        <v>1142</v>
      </c>
      <c r="K1" s="56" t="s">
        <v>1162</v>
      </c>
      <c r="L1" s="56" t="s">
        <v>976</v>
      </c>
      <c r="M1" s="56" t="s">
        <v>276</v>
      </c>
      <c r="N1" s="56" t="s">
        <v>977</v>
      </c>
      <c r="O1" s="56" t="s">
        <v>327</v>
      </c>
    </row>
    <row r="2" spans="1:15" s="61" customFormat="1" ht="22.5" customHeight="1">
      <c r="A2" s="58" t="s">
        <v>344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1" s="68" customFormat="1" ht="15.75" customHeight="1">
      <c r="A3" s="129">
        <v>24766</v>
      </c>
      <c r="B3" s="129">
        <v>2212</v>
      </c>
      <c r="C3" s="129">
        <v>6121</v>
      </c>
      <c r="D3" s="69">
        <v>1</v>
      </c>
      <c r="E3" s="101" t="s">
        <v>931</v>
      </c>
      <c r="F3" s="180">
        <v>70</v>
      </c>
      <c r="G3" s="99">
        <v>0</v>
      </c>
      <c r="H3" s="99"/>
      <c r="I3" s="99">
        <f aca="true" t="shared" si="0" ref="I3:I10">G3+H3</f>
        <v>0</v>
      </c>
      <c r="J3" s="99">
        <f>N3</f>
        <v>0</v>
      </c>
      <c r="K3" s="99"/>
      <c r="L3" s="99"/>
      <c r="M3" s="99"/>
      <c r="N3" s="99">
        <f aca="true" t="shared" si="1" ref="N3:N11">I3-M3</f>
        <v>0</v>
      </c>
      <c r="O3" s="101" t="s">
        <v>932</v>
      </c>
      <c r="P3" s="67"/>
      <c r="Q3" s="67"/>
      <c r="R3" s="67"/>
      <c r="S3" s="67"/>
      <c r="T3" s="67"/>
      <c r="U3" s="67"/>
    </row>
    <row r="4" spans="1:15" ht="15.75" customHeight="1">
      <c r="A4" s="73">
        <v>24767</v>
      </c>
      <c r="B4" s="73">
        <v>2212</v>
      </c>
      <c r="C4" s="73">
        <v>6121</v>
      </c>
      <c r="D4" s="181">
        <v>2</v>
      </c>
      <c r="E4" s="101" t="s">
        <v>345</v>
      </c>
      <c r="F4" s="182">
        <v>70</v>
      </c>
      <c r="G4" s="99">
        <v>0</v>
      </c>
      <c r="H4" s="99"/>
      <c r="I4" s="99">
        <f t="shared" si="0"/>
        <v>0</v>
      </c>
      <c r="J4" s="99">
        <f>N4</f>
        <v>0</v>
      </c>
      <c r="K4" s="183"/>
      <c r="L4" s="99"/>
      <c r="M4" s="99"/>
      <c r="N4" s="99">
        <f t="shared" si="1"/>
        <v>0</v>
      </c>
      <c r="O4" s="101" t="s">
        <v>932</v>
      </c>
    </row>
    <row r="5" spans="1:15" ht="15.75" customHeight="1">
      <c r="A5" s="73">
        <v>24891</v>
      </c>
      <c r="B5" s="73">
        <v>2212</v>
      </c>
      <c r="C5" s="73">
        <v>6121</v>
      </c>
      <c r="D5" s="69">
        <v>3</v>
      </c>
      <c r="E5" s="101" t="s">
        <v>346</v>
      </c>
      <c r="F5" s="184">
        <v>150</v>
      </c>
      <c r="G5" s="99">
        <v>390000</v>
      </c>
      <c r="H5" s="185"/>
      <c r="I5" s="99">
        <f t="shared" si="0"/>
        <v>390000</v>
      </c>
      <c r="J5" s="99">
        <f>N5-377908</f>
        <v>12092</v>
      </c>
      <c r="K5" s="185"/>
      <c r="L5" s="99"/>
      <c r="M5" s="99"/>
      <c r="N5" s="99">
        <f t="shared" si="1"/>
        <v>390000</v>
      </c>
      <c r="O5" s="101" t="s">
        <v>932</v>
      </c>
    </row>
    <row r="6" spans="1:15" ht="15.75" customHeight="1">
      <c r="A6" s="73">
        <v>25068</v>
      </c>
      <c r="B6" s="73">
        <v>4374</v>
      </c>
      <c r="C6" s="73">
        <v>6121</v>
      </c>
      <c r="D6" s="181">
        <v>4</v>
      </c>
      <c r="E6" s="101" t="s">
        <v>353</v>
      </c>
      <c r="F6" s="184">
        <v>0</v>
      </c>
      <c r="G6" s="99"/>
      <c r="H6" s="185"/>
      <c r="I6" s="99"/>
      <c r="J6" s="99">
        <v>118000</v>
      </c>
      <c r="K6" s="185">
        <v>94248</v>
      </c>
      <c r="L6" s="99">
        <f>K6/J6*100</f>
        <v>79.87118644067796</v>
      </c>
      <c r="M6" s="99"/>
      <c r="N6" s="99"/>
      <c r="O6" s="101" t="s">
        <v>932</v>
      </c>
    </row>
    <row r="7" spans="1:15" ht="15.75" customHeight="1">
      <c r="A7" s="69">
        <v>24933</v>
      </c>
      <c r="B7" s="69">
        <v>2219</v>
      </c>
      <c r="C7" s="69">
        <v>6121</v>
      </c>
      <c r="D7" s="69">
        <v>5</v>
      </c>
      <c r="E7" s="66" t="s">
        <v>347</v>
      </c>
      <c r="F7" s="64">
        <v>500</v>
      </c>
      <c r="G7" s="99">
        <v>500000</v>
      </c>
      <c r="H7" s="64"/>
      <c r="I7" s="99">
        <f t="shared" si="0"/>
        <v>500000</v>
      </c>
      <c r="J7" s="99">
        <f>N7</f>
        <v>500000</v>
      </c>
      <c r="K7" s="65">
        <v>85180</v>
      </c>
      <c r="L7" s="99">
        <f>K7/J7*100</f>
        <v>17.036</v>
      </c>
      <c r="M7" s="99"/>
      <c r="N7" s="99">
        <f t="shared" si="1"/>
        <v>500000</v>
      </c>
      <c r="O7" s="101" t="s">
        <v>932</v>
      </c>
    </row>
    <row r="8" spans="1:15" ht="15.75" customHeight="1">
      <c r="A8" s="69">
        <v>24801</v>
      </c>
      <c r="B8" s="69">
        <v>2212</v>
      </c>
      <c r="C8" s="130">
        <v>6121</v>
      </c>
      <c r="D8" s="181">
        <v>6</v>
      </c>
      <c r="E8" s="66" t="s">
        <v>797</v>
      </c>
      <c r="F8" s="64">
        <v>300</v>
      </c>
      <c r="G8" s="99">
        <v>188000</v>
      </c>
      <c r="H8" s="65"/>
      <c r="I8" s="65">
        <f t="shared" si="0"/>
        <v>188000</v>
      </c>
      <c r="J8" s="99">
        <f>N8</f>
        <v>188000</v>
      </c>
      <c r="K8" s="65">
        <v>118643</v>
      </c>
      <c r="L8" s="99">
        <f>K8/J8*100</f>
        <v>63.10797872340426</v>
      </c>
      <c r="M8" s="99"/>
      <c r="N8" s="99">
        <f t="shared" si="1"/>
        <v>188000</v>
      </c>
      <c r="O8" s="101" t="s">
        <v>932</v>
      </c>
    </row>
    <row r="9" spans="1:15" ht="15.75" customHeight="1">
      <c r="A9" s="69">
        <v>20582</v>
      </c>
      <c r="B9" s="69">
        <v>2219</v>
      </c>
      <c r="C9" s="130">
        <v>6121</v>
      </c>
      <c r="D9" s="69">
        <v>7</v>
      </c>
      <c r="E9" s="66" t="s">
        <v>798</v>
      </c>
      <c r="F9" s="64">
        <v>0</v>
      </c>
      <c r="G9" s="99">
        <v>100000</v>
      </c>
      <c r="H9" s="65"/>
      <c r="I9" s="65">
        <f t="shared" si="0"/>
        <v>100000</v>
      </c>
      <c r="J9" s="99">
        <f>N9</f>
        <v>100000</v>
      </c>
      <c r="K9" s="65">
        <v>95094</v>
      </c>
      <c r="L9" s="99">
        <f>K9/J9*100</f>
        <v>95.094</v>
      </c>
      <c r="M9" s="99"/>
      <c r="N9" s="99">
        <f t="shared" si="1"/>
        <v>100000</v>
      </c>
      <c r="O9" s="101" t="s">
        <v>932</v>
      </c>
    </row>
    <row r="10" spans="1:15" ht="15.75" customHeight="1">
      <c r="A10" s="129">
        <v>20749</v>
      </c>
      <c r="B10" s="62">
        <v>2219</v>
      </c>
      <c r="C10" s="62">
        <v>6121</v>
      </c>
      <c r="D10" s="181">
        <v>8</v>
      </c>
      <c r="E10" s="66" t="s">
        <v>799</v>
      </c>
      <c r="F10" s="70">
        <v>1000</v>
      </c>
      <c r="G10" s="99">
        <v>0</v>
      </c>
      <c r="H10" s="71"/>
      <c r="I10" s="65">
        <f t="shared" si="0"/>
        <v>0</v>
      </c>
      <c r="J10" s="99">
        <f>N10</f>
        <v>0</v>
      </c>
      <c r="K10" s="71"/>
      <c r="L10" s="99"/>
      <c r="M10" s="99"/>
      <c r="N10" s="99">
        <f t="shared" si="1"/>
        <v>0</v>
      </c>
      <c r="O10" s="101" t="s">
        <v>932</v>
      </c>
    </row>
    <row r="11" spans="1:15" ht="15.75" customHeight="1">
      <c r="A11" s="69">
        <v>24887</v>
      </c>
      <c r="B11" s="69">
        <v>2212</v>
      </c>
      <c r="C11" s="69">
        <v>6121</v>
      </c>
      <c r="D11" s="69">
        <v>9</v>
      </c>
      <c r="E11" s="101" t="s">
        <v>800</v>
      </c>
      <c r="F11" s="64">
        <v>950</v>
      </c>
      <c r="G11" s="99">
        <v>1257000</v>
      </c>
      <c r="H11" s="65"/>
      <c r="I11" s="65">
        <v>1257000</v>
      </c>
      <c r="J11" s="99">
        <f>N11</f>
        <v>1257000</v>
      </c>
      <c r="K11" s="65">
        <v>1246322.7</v>
      </c>
      <c r="L11" s="99">
        <f aca="true" t="shared" si="2" ref="L11:L17">K11/J11*100</f>
        <v>99.15057279236277</v>
      </c>
      <c r="M11" s="99"/>
      <c r="N11" s="99">
        <f t="shared" si="1"/>
        <v>1257000</v>
      </c>
      <c r="O11" s="101" t="s">
        <v>932</v>
      </c>
    </row>
    <row r="12" spans="1:15" ht="15.75" customHeight="1">
      <c r="A12" s="69">
        <v>25065</v>
      </c>
      <c r="B12" s="69">
        <v>3631</v>
      </c>
      <c r="C12" s="69">
        <v>6121</v>
      </c>
      <c r="D12" s="181">
        <v>10</v>
      </c>
      <c r="E12" s="101" t="s">
        <v>94</v>
      </c>
      <c r="F12" s="64">
        <v>0</v>
      </c>
      <c r="G12" s="99"/>
      <c r="H12" s="65"/>
      <c r="I12" s="65"/>
      <c r="J12" s="99">
        <v>118000</v>
      </c>
      <c r="K12" s="65">
        <v>117215</v>
      </c>
      <c r="L12" s="99">
        <f t="shared" si="2"/>
        <v>99.33474576271186</v>
      </c>
      <c r="M12" s="99"/>
      <c r="N12" s="99"/>
      <c r="O12" s="101" t="s">
        <v>932</v>
      </c>
    </row>
    <row r="13" spans="1:15" ht="15.75" customHeight="1">
      <c r="A13" s="73">
        <v>24517</v>
      </c>
      <c r="B13" s="62">
        <v>3635</v>
      </c>
      <c r="C13" s="62">
        <v>6121</v>
      </c>
      <c r="D13" s="69">
        <v>11</v>
      </c>
      <c r="E13" s="66" t="s">
        <v>801</v>
      </c>
      <c r="F13" s="64">
        <v>2000</v>
      </c>
      <c r="G13" s="99">
        <v>3500000</v>
      </c>
      <c r="H13" s="65"/>
      <c r="I13" s="65">
        <f>G13+H13</f>
        <v>3500000</v>
      </c>
      <c r="J13" s="99">
        <f>N13-350000</f>
        <v>3150000</v>
      </c>
      <c r="K13" s="65">
        <v>3148476</v>
      </c>
      <c r="L13" s="99">
        <f t="shared" si="2"/>
        <v>99.95161904761905</v>
      </c>
      <c r="M13" s="99"/>
      <c r="N13" s="99">
        <f>I13-M13</f>
        <v>3500000</v>
      </c>
      <c r="O13" s="101" t="s">
        <v>932</v>
      </c>
    </row>
    <row r="14" spans="1:15" ht="15.75" customHeight="1">
      <c r="A14" s="73">
        <v>24786</v>
      </c>
      <c r="B14" s="62">
        <v>4351</v>
      </c>
      <c r="C14" s="62">
        <v>6121</v>
      </c>
      <c r="D14" s="181">
        <v>12</v>
      </c>
      <c r="E14" s="66" t="s">
        <v>939</v>
      </c>
      <c r="F14" s="64">
        <v>4500</v>
      </c>
      <c r="G14" s="99">
        <v>2992000</v>
      </c>
      <c r="H14" s="65"/>
      <c r="I14" s="65">
        <f>G14+H14</f>
        <v>2992000</v>
      </c>
      <c r="J14" s="99">
        <f>N14-290000</f>
        <v>2702000</v>
      </c>
      <c r="K14" s="65">
        <v>2360603</v>
      </c>
      <c r="L14" s="99">
        <f t="shared" si="2"/>
        <v>87.36502590673575</v>
      </c>
      <c r="M14" s="99"/>
      <c r="N14" s="99">
        <f>I14-M14</f>
        <v>2992000</v>
      </c>
      <c r="O14" s="101" t="s">
        <v>932</v>
      </c>
    </row>
    <row r="15" spans="1:15" ht="15.75" customHeight="1">
      <c r="A15" s="73">
        <v>24967</v>
      </c>
      <c r="B15" s="62">
        <v>2219</v>
      </c>
      <c r="C15" s="62">
        <v>6121</v>
      </c>
      <c r="D15" s="69">
        <v>13</v>
      </c>
      <c r="E15" s="66" t="s">
        <v>802</v>
      </c>
      <c r="F15" s="64">
        <v>0</v>
      </c>
      <c r="G15" s="99">
        <v>60000</v>
      </c>
      <c r="H15" s="65"/>
      <c r="I15" s="65">
        <f>G15+H15</f>
        <v>60000</v>
      </c>
      <c r="J15" s="99">
        <f>N15</f>
        <v>60000</v>
      </c>
      <c r="K15" s="65">
        <v>55454</v>
      </c>
      <c r="L15" s="99">
        <f t="shared" si="2"/>
        <v>92.42333333333333</v>
      </c>
      <c r="M15" s="99"/>
      <c r="N15" s="99">
        <f>I15-M15</f>
        <v>60000</v>
      </c>
      <c r="O15" s="101" t="s">
        <v>932</v>
      </c>
    </row>
    <row r="16" spans="1:15" ht="15.75" customHeight="1">
      <c r="A16" s="69">
        <v>24934</v>
      </c>
      <c r="B16" s="69">
        <v>2212</v>
      </c>
      <c r="C16" s="69">
        <v>6121</v>
      </c>
      <c r="D16" s="181">
        <v>14</v>
      </c>
      <c r="E16" s="66" t="s">
        <v>803</v>
      </c>
      <c r="F16" s="186">
        <v>300</v>
      </c>
      <c r="G16" s="99">
        <v>714000</v>
      </c>
      <c r="H16" s="187"/>
      <c r="I16" s="65">
        <f>G16+H16</f>
        <v>714000</v>
      </c>
      <c r="J16" s="99">
        <f>N16</f>
        <v>714000</v>
      </c>
      <c r="K16" s="187">
        <v>571200</v>
      </c>
      <c r="L16" s="99">
        <f t="shared" si="2"/>
        <v>80</v>
      </c>
      <c r="M16" s="99"/>
      <c r="N16" s="99">
        <f>I16-M16</f>
        <v>714000</v>
      </c>
      <c r="O16" s="101" t="s">
        <v>932</v>
      </c>
    </row>
    <row r="17" spans="1:15" ht="15.75" customHeight="1">
      <c r="A17" s="69">
        <v>25063</v>
      </c>
      <c r="B17" s="69">
        <v>3631</v>
      </c>
      <c r="C17" s="69">
        <v>6121</v>
      </c>
      <c r="D17" s="69">
        <v>15</v>
      </c>
      <c r="E17" s="66" t="s">
        <v>95</v>
      </c>
      <c r="F17" s="186">
        <v>0</v>
      </c>
      <c r="G17" s="99"/>
      <c r="H17" s="187"/>
      <c r="I17" s="65"/>
      <c r="J17" s="99">
        <v>68000</v>
      </c>
      <c r="K17" s="187">
        <v>66997</v>
      </c>
      <c r="L17" s="99">
        <f t="shared" si="2"/>
        <v>98.52499999999999</v>
      </c>
      <c r="M17" s="99"/>
      <c r="N17" s="99"/>
      <c r="O17" s="101" t="s">
        <v>932</v>
      </c>
    </row>
    <row r="18" spans="1:15" ht="15.75" customHeight="1">
      <c r="A18" s="97">
        <v>24935</v>
      </c>
      <c r="B18" s="97">
        <v>3113</v>
      </c>
      <c r="C18" s="97">
        <v>6121</v>
      </c>
      <c r="D18" s="181">
        <v>16</v>
      </c>
      <c r="E18" s="188" t="s">
        <v>804</v>
      </c>
      <c r="F18" s="70">
        <v>2000</v>
      </c>
      <c r="G18" s="99">
        <v>0</v>
      </c>
      <c r="H18" s="71"/>
      <c r="I18" s="65">
        <f aca="true" t="shared" si="3" ref="I18:I40">G18+H18</f>
        <v>0</v>
      </c>
      <c r="J18" s="99">
        <f>N18</f>
        <v>0</v>
      </c>
      <c r="K18" s="71"/>
      <c r="L18" s="99"/>
      <c r="M18" s="99"/>
      <c r="N18" s="99">
        <f aca="true" t="shared" si="4" ref="N18:N40">I18-M18</f>
        <v>0</v>
      </c>
      <c r="O18" s="101" t="s">
        <v>932</v>
      </c>
    </row>
    <row r="19" spans="1:15" ht="15.75" customHeight="1">
      <c r="A19" s="97">
        <v>24995</v>
      </c>
      <c r="B19" s="97">
        <v>3113</v>
      </c>
      <c r="C19" s="97">
        <v>6121</v>
      </c>
      <c r="D19" s="69">
        <v>17</v>
      </c>
      <c r="E19" s="188" t="s">
        <v>805</v>
      </c>
      <c r="F19" s="70">
        <v>0</v>
      </c>
      <c r="G19" s="99">
        <v>672500</v>
      </c>
      <c r="H19" s="71"/>
      <c r="I19" s="65">
        <f t="shared" si="3"/>
        <v>672500</v>
      </c>
      <c r="J19" s="99">
        <f aca="true" t="shared" si="5" ref="J19:J24">N19</f>
        <v>672500</v>
      </c>
      <c r="K19" s="71">
        <v>672350</v>
      </c>
      <c r="L19" s="99">
        <f>K19/J19*100</f>
        <v>99.97769516728624</v>
      </c>
      <c r="M19" s="99"/>
      <c r="N19" s="99">
        <f t="shared" si="4"/>
        <v>672500</v>
      </c>
      <c r="O19" s="101" t="s">
        <v>932</v>
      </c>
    </row>
    <row r="20" spans="1:15" ht="15.75" customHeight="1">
      <c r="A20" s="97">
        <v>25006</v>
      </c>
      <c r="B20" s="97">
        <v>2212</v>
      </c>
      <c r="C20" s="97">
        <v>6121</v>
      </c>
      <c r="D20" s="181">
        <v>18</v>
      </c>
      <c r="E20" s="188" t="s">
        <v>806</v>
      </c>
      <c r="F20" s="70">
        <v>0</v>
      </c>
      <c r="G20" s="99">
        <v>345000</v>
      </c>
      <c r="H20" s="71"/>
      <c r="I20" s="65">
        <f t="shared" si="3"/>
        <v>345000</v>
      </c>
      <c r="J20" s="99">
        <f t="shared" si="5"/>
        <v>345000</v>
      </c>
      <c r="K20" s="71">
        <v>273224</v>
      </c>
      <c r="L20" s="99">
        <f>K20/J20*100</f>
        <v>79.19536231884058</v>
      </c>
      <c r="M20" s="99"/>
      <c r="N20" s="99">
        <f t="shared" si="4"/>
        <v>345000</v>
      </c>
      <c r="O20" s="101" t="s">
        <v>932</v>
      </c>
    </row>
    <row r="21" spans="1:15" ht="15.75" customHeight="1">
      <c r="A21" s="129">
        <v>24850</v>
      </c>
      <c r="B21" s="69">
        <v>2212</v>
      </c>
      <c r="C21" s="69">
        <v>6121</v>
      </c>
      <c r="D21" s="69">
        <v>19</v>
      </c>
      <c r="E21" s="101" t="s">
        <v>807</v>
      </c>
      <c r="F21" s="186">
        <v>285</v>
      </c>
      <c r="G21" s="99">
        <v>457000</v>
      </c>
      <c r="H21" s="187"/>
      <c r="I21" s="65">
        <f t="shared" si="3"/>
        <v>457000</v>
      </c>
      <c r="J21" s="99">
        <f t="shared" si="5"/>
        <v>457000</v>
      </c>
      <c r="K21" s="187">
        <v>455972.3</v>
      </c>
      <c r="L21" s="99">
        <f>K21/J21*100</f>
        <v>99.7751203501094</v>
      </c>
      <c r="M21" s="99"/>
      <c r="N21" s="99">
        <f t="shared" si="4"/>
        <v>457000</v>
      </c>
      <c r="O21" s="101" t="s">
        <v>932</v>
      </c>
    </row>
    <row r="22" spans="1:15" ht="15.75" customHeight="1">
      <c r="A22" s="69">
        <v>24900</v>
      </c>
      <c r="B22" s="69">
        <v>6171</v>
      </c>
      <c r="C22" s="130">
        <v>6121</v>
      </c>
      <c r="D22" s="181">
        <v>20</v>
      </c>
      <c r="E22" s="66" t="s">
        <v>354</v>
      </c>
      <c r="F22" s="64">
        <v>600</v>
      </c>
      <c r="G22" s="99">
        <v>406000</v>
      </c>
      <c r="H22" s="65"/>
      <c r="I22" s="65">
        <f t="shared" si="3"/>
        <v>406000</v>
      </c>
      <c r="J22" s="99">
        <f t="shared" si="5"/>
        <v>406000</v>
      </c>
      <c r="K22" s="65">
        <v>405570.5</v>
      </c>
      <c r="L22" s="99">
        <f>K22/J22*100</f>
        <v>99.8942118226601</v>
      </c>
      <c r="M22" s="99"/>
      <c r="N22" s="99">
        <f t="shared" si="4"/>
        <v>406000</v>
      </c>
      <c r="O22" s="101" t="s">
        <v>932</v>
      </c>
    </row>
    <row r="23" spans="1:15" ht="15.75" customHeight="1">
      <c r="A23" s="69">
        <v>24996</v>
      </c>
      <c r="B23" s="69">
        <v>6171</v>
      </c>
      <c r="C23" s="130">
        <v>6121</v>
      </c>
      <c r="D23" s="69">
        <v>21</v>
      </c>
      <c r="E23" s="66" t="s">
        <v>355</v>
      </c>
      <c r="F23" s="64">
        <v>0</v>
      </c>
      <c r="G23" s="99">
        <v>286000</v>
      </c>
      <c r="H23" s="65"/>
      <c r="I23" s="65">
        <f t="shared" si="3"/>
        <v>286000</v>
      </c>
      <c r="J23" s="99">
        <f t="shared" si="5"/>
        <v>286000</v>
      </c>
      <c r="K23" s="65">
        <v>285600</v>
      </c>
      <c r="L23" s="99">
        <f>K23/J23*100</f>
        <v>99.86013986013987</v>
      </c>
      <c r="M23" s="99"/>
      <c r="N23" s="99">
        <f t="shared" si="4"/>
        <v>286000</v>
      </c>
      <c r="O23" s="101" t="s">
        <v>932</v>
      </c>
    </row>
    <row r="24" spans="1:15" ht="15.75" customHeight="1">
      <c r="A24" s="69">
        <v>24853</v>
      </c>
      <c r="B24" s="69">
        <v>2212</v>
      </c>
      <c r="C24" s="69">
        <v>6121</v>
      </c>
      <c r="D24" s="181">
        <v>22</v>
      </c>
      <c r="E24" s="66" t="s">
        <v>356</v>
      </c>
      <c r="F24" s="186">
        <v>125</v>
      </c>
      <c r="G24" s="99">
        <v>125000</v>
      </c>
      <c r="H24" s="187"/>
      <c r="I24" s="65">
        <f t="shared" si="3"/>
        <v>125000</v>
      </c>
      <c r="J24" s="99">
        <f t="shared" si="5"/>
        <v>125000</v>
      </c>
      <c r="K24" s="187"/>
      <c r="L24" s="99"/>
      <c r="M24" s="99"/>
      <c r="N24" s="99">
        <f t="shared" si="4"/>
        <v>125000</v>
      </c>
      <c r="O24" s="101" t="s">
        <v>932</v>
      </c>
    </row>
    <row r="25" spans="1:15" ht="15.75" customHeight="1">
      <c r="A25" s="69">
        <v>24910</v>
      </c>
      <c r="B25" s="69">
        <v>2219</v>
      </c>
      <c r="C25" s="69">
        <v>6121</v>
      </c>
      <c r="D25" s="69">
        <v>23</v>
      </c>
      <c r="E25" s="66" t="s">
        <v>978</v>
      </c>
      <c r="F25" s="186">
        <v>850</v>
      </c>
      <c r="G25" s="99">
        <v>850000</v>
      </c>
      <c r="H25" s="187"/>
      <c r="I25" s="65">
        <f t="shared" si="3"/>
        <v>850000</v>
      </c>
      <c r="J25" s="99">
        <f>N25-69000+6000</f>
        <v>787000</v>
      </c>
      <c r="K25" s="187">
        <v>786807.3</v>
      </c>
      <c r="L25" s="99">
        <f>K25/J25*100</f>
        <v>99.97551461245236</v>
      </c>
      <c r="M25" s="99"/>
      <c r="N25" s="99">
        <f t="shared" si="4"/>
        <v>850000</v>
      </c>
      <c r="O25" s="101" t="s">
        <v>932</v>
      </c>
    </row>
    <row r="26" spans="1:15" ht="15.75" customHeight="1">
      <c r="A26" s="97">
        <v>24936</v>
      </c>
      <c r="B26" s="97">
        <v>3632</v>
      </c>
      <c r="C26" s="97">
        <v>6121</v>
      </c>
      <c r="D26" s="181">
        <v>24</v>
      </c>
      <c r="E26" s="66" t="s">
        <v>979</v>
      </c>
      <c r="F26" s="70">
        <v>230</v>
      </c>
      <c r="G26" s="99">
        <v>230000</v>
      </c>
      <c r="H26" s="71"/>
      <c r="I26" s="65">
        <f t="shared" si="3"/>
        <v>230000</v>
      </c>
      <c r="J26" s="99">
        <f>N26-220000</f>
        <v>10000</v>
      </c>
      <c r="K26" s="71">
        <v>3927</v>
      </c>
      <c r="L26" s="99">
        <f>K26/J26*100</f>
        <v>39.269999999999996</v>
      </c>
      <c r="M26" s="99"/>
      <c r="N26" s="99">
        <f t="shared" si="4"/>
        <v>230000</v>
      </c>
      <c r="O26" s="101" t="s">
        <v>932</v>
      </c>
    </row>
    <row r="27" spans="1:15" ht="15.75" customHeight="1">
      <c r="A27" s="69">
        <v>24255</v>
      </c>
      <c r="B27" s="69">
        <v>2219</v>
      </c>
      <c r="C27" s="69">
        <v>6121</v>
      </c>
      <c r="D27" s="69">
        <v>25</v>
      </c>
      <c r="E27" s="66" t="s">
        <v>980</v>
      </c>
      <c r="F27" s="98">
        <v>1000</v>
      </c>
      <c r="G27" s="99">
        <v>0</v>
      </c>
      <c r="H27" s="100"/>
      <c r="I27" s="65">
        <f t="shared" si="3"/>
        <v>0</v>
      </c>
      <c r="J27" s="99">
        <f>N27</f>
        <v>0</v>
      </c>
      <c r="K27" s="100"/>
      <c r="L27" s="99"/>
      <c r="M27" s="99"/>
      <c r="N27" s="99">
        <f t="shared" si="4"/>
        <v>0</v>
      </c>
      <c r="O27" s="101" t="s">
        <v>932</v>
      </c>
    </row>
    <row r="28" spans="1:15" ht="15.75" customHeight="1">
      <c r="A28" s="69">
        <v>24937</v>
      </c>
      <c r="B28" s="69">
        <v>2212</v>
      </c>
      <c r="C28" s="69">
        <v>6121</v>
      </c>
      <c r="D28" s="181">
        <v>26</v>
      </c>
      <c r="E28" s="101" t="s">
        <v>981</v>
      </c>
      <c r="F28" s="186">
        <v>140</v>
      </c>
      <c r="G28" s="99">
        <v>140000</v>
      </c>
      <c r="H28" s="187"/>
      <c r="I28" s="65">
        <f t="shared" si="3"/>
        <v>140000</v>
      </c>
      <c r="J28" s="99">
        <f>N28</f>
        <v>140000</v>
      </c>
      <c r="K28" s="187">
        <v>129948</v>
      </c>
      <c r="L28" s="99">
        <f>K28/J28*100</f>
        <v>92.82000000000001</v>
      </c>
      <c r="M28" s="99"/>
      <c r="N28" s="99">
        <f t="shared" si="4"/>
        <v>140000</v>
      </c>
      <c r="O28" s="101" t="s">
        <v>932</v>
      </c>
    </row>
    <row r="29" spans="1:15" ht="15.75" customHeight="1">
      <c r="A29" s="97">
        <v>24938</v>
      </c>
      <c r="B29" s="97">
        <v>5512</v>
      </c>
      <c r="C29" s="62">
        <v>6121</v>
      </c>
      <c r="D29" s="69">
        <v>27</v>
      </c>
      <c r="E29" s="66" t="s">
        <v>982</v>
      </c>
      <c r="F29" s="70">
        <v>200</v>
      </c>
      <c r="G29" s="99">
        <v>200000</v>
      </c>
      <c r="H29" s="71"/>
      <c r="I29" s="65">
        <f t="shared" si="3"/>
        <v>200000</v>
      </c>
      <c r="J29" s="99">
        <f>N29</f>
        <v>200000</v>
      </c>
      <c r="K29" s="71"/>
      <c r="L29" s="99"/>
      <c r="M29" s="99"/>
      <c r="N29" s="99">
        <f t="shared" si="4"/>
        <v>200000</v>
      </c>
      <c r="O29" s="101" t="s">
        <v>932</v>
      </c>
    </row>
    <row r="30" spans="1:15" ht="15.75" customHeight="1">
      <c r="A30" s="129">
        <v>24909</v>
      </c>
      <c r="B30" s="69">
        <v>2219</v>
      </c>
      <c r="C30" s="69">
        <v>6121</v>
      </c>
      <c r="D30" s="181">
        <v>28</v>
      </c>
      <c r="E30" s="101" t="s">
        <v>948</v>
      </c>
      <c r="F30" s="186">
        <v>255</v>
      </c>
      <c r="G30" s="99">
        <v>255000</v>
      </c>
      <c r="H30" s="187"/>
      <c r="I30" s="65">
        <f t="shared" si="3"/>
        <v>255000</v>
      </c>
      <c r="J30" s="99">
        <v>575000</v>
      </c>
      <c r="K30" s="187">
        <v>558524</v>
      </c>
      <c r="L30" s="99">
        <f>K30/J30*100</f>
        <v>97.13460869565218</v>
      </c>
      <c r="M30" s="99"/>
      <c r="N30" s="99">
        <f t="shared" si="4"/>
        <v>255000</v>
      </c>
      <c r="O30" s="101" t="s">
        <v>932</v>
      </c>
    </row>
    <row r="31" spans="1:15" ht="15.75" customHeight="1">
      <c r="A31" s="62">
        <v>24390</v>
      </c>
      <c r="B31" s="62">
        <v>6409</v>
      </c>
      <c r="C31" s="62">
        <v>6121</v>
      </c>
      <c r="D31" s="69">
        <v>29</v>
      </c>
      <c r="E31" s="66" t="s">
        <v>949</v>
      </c>
      <c r="F31" s="64">
        <v>250</v>
      </c>
      <c r="G31" s="99">
        <v>250000</v>
      </c>
      <c r="H31" s="65"/>
      <c r="I31" s="65">
        <f t="shared" si="3"/>
        <v>250000</v>
      </c>
      <c r="J31" s="99">
        <f aca="true" t="shared" si="6" ref="J31:J40">N31</f>
        <v>250000</v>
      </c>
      <c r="K31" s="65">
        <v>235862</v>
      </c>
      <c r="L31" s="99">
        <f>K31/J31*100</f>
        <v>94.34479999999999</v>
      </c>
      <c r="M31" s="99"/>
      <c r="N31" s="99">
        <f t="shared" si="4"/>
        <v>250000</v>
      </c>
      <c r="O31" s="101" t="s">
        <v>932</v>
      </c>
    </row>
    <row r="32" spans="1:15" ht="15.75" customHeight="1">
      <c r="A32" s="97">
        <v>24943</v>
      </c>
      <c r="B32" s="69">
        <v>6171</v>
      </c>
      <c r="C32" s="69">
        <v>6121</v>
      </c>
      <c r="D32" s="181">
        <v>30</v>
      </c>
      <c r="E32" s="66" t="s">
        <v>983</v>
      </c>
      <c r="F32" s="70">
        <v>400</v>
      </c>
      <c r="G32" s="99">
        <v>400000</v>
      </c>
      <c r="H32" s="71"/>
      <c r="I32" s="65">
        <f t="shared" si="3"/>
        <v>400000</v>
      </c>
      <c r="J32" s="99">
        <f t="shared" si="6"/>
        <v>400000</v>
      </c>
      <c r="K32" s="71"/>
      <c r="L32" s="99"/>
      <c r="M32" s="99"/>
      <c r="N32" s="99">
        <f t="shared" si="4"/>
        <v>400000</v>
      </c>
      <c r="O32" s="101" t="s">
        <v>932</v>
      </c>
    </row>
    <row r="33" spans="1:15" ht="15.75" customHeight="1">
      <c r="A33" s="129">
        <v>24866</v>
      </c>
      <c r="B33" s="69">
        <v>2219</v>
      </c>
      <c r="C33" s="69">
        <v>6121</v>
      </c>
      <c r="D33" s="69">
        <v>31</v>
      </c>
      <c r="E33" s="101" t="s">
        <v>984</v>
      </c>
      <c r="F33" s="64">
        <v>67</v>
      </c>
      <c r="G33" s="99">
        <v>297000</v>
      </c>
      <c r="H33" s="65"/>
      <c r="I33" s="65">
        <f t="shared" si="3"/>
        <v>297000</v>
      </c>
      <c r="J33" s="99">
        <f t="shared" si="6"/>
        <v>297000</v>
      </c>
      <c r="K33" s="65">
        <v>2654</v>
      </c>
      <c r="L33" s="99">
        <f>K33/J33*100</f>
        <v>0.8936026936026936</v>
      </c>
      <c r="M33" s="99"/>
      <c r="N33" s="99">
        <f t="shared" si="4"/>
        <v>297000</v>
      </c>
      <c r="O33" s="101" t="s">
        <v>932</v>
      </c>
    </row>
    <row r="34" spans="1:15" ht="15.75" customHeight="1">
      <c r="A34" s="129">
        <v>20723</v>
      </c>
      <c r="B34" s="69">
        <v>2212</v>
      </c>
      <c r="C34" s="69">
        <v>6121</v>
      </c>
      <c r="D34" s="181">
        <v>32</v>
      </c>
      <c r="E34" s="101" t="s">
        <v>985</v>
      </c>
      <c r="F34" s="64">
        <v>0</v>
      </c>
      <c r="G34" s="99">
        <v>100000</v>
      </c>
      <c r="H34" s="65"/>
      <c r="I34" s="65">
        <f t="shared" si="3"/>
        <v>100000</v>
      </c>
      <c r="J34" s="99">
        <f t="shared" si="6"/>
        <v>100000</v>
      </c>
      <c r="K34" s="65"/>
      <c r="L34" s="99"/>
      <c r="M34" s="99"/>
      <c r="N34" s="99">
        <f t="shared" si="4"/>
        <v>100000</v>
      </c>
      <c r="O34" s="101" t="s">
        <v>932</v>
      </c>
    </row>
    <row r="35" spans="1:15" ht="15.75" customHeight="1">
      <c r="A35" s="129">
        <v>24966</v>
      </c>
      <c r="B35" s="69">
        <v>2219</v>
      </c>
      <c r="C35" s="69">
        <v>6121</v>
      </c>
      <c r="D35" s="69">
        <v>33</v>
      </c>
      <c r="E35" s="101" t="s">
        <v>986</v>
      </c>
      <c r="F35" s="64">
        <v>0</v>
      </c>
      <c r="G35" s="99">
        <v>360000</v>
      </c>
      <c r="H35" s="65"/>
      <c r="I35" s="65">
        <f t="shared" si="3"/>
        <v>360000</v>
      </c>
      <c r="J35" s="99">
        <f t="shared" si="6"/>
        <v>360000</v>
      </c>
      <c r="K35" s="65">
        <v>355810</v>
      </c>
      <c r="L35" s="99">
        <f>K35/J35*100</f>
        <v>98.83611111111111</v>
      </c>
      <c r="M35" s="99"/>
      <c r="N35" s="99">
        <f t="shared" si="4"/>
        <v>360000</v>
      </c>
      <c r="O35" s="101" t="s">
        <v>932</v>
      </c>
    </row>
    <row r="36" spans="1:15" ht="15.75" customHeight="1">
      <c r="A36" s="129">
        <v>24389</v>
      </c>
      <c r="B36" s="69">
        <v>2321</v>
      </c>
      <c r="C36" s="69">
        <v>6121</v>
      </c>
      <c r="D36" s="181">
        <v>34</v>
      </c>
      <c r="E36" s="101" t="s">
        <v>844</v>
      </c>
      <c r="F36" s="64">
        <v>0</v>
      </c>
      <c r="G36" s="99">
        <v>9000</v>
      </c>
      <c r="H36" s="65"/>
      <c r="I36" s="65">
        <f t="shared" si="3"/>
        <v>9000</v>
      </c>
      <c r="J36" s="99">
        <f t="shared" si="6"/>
        <v>9000</v>
      </c>
      <c r="K36" s="65">
        <v>4879</v>
      </c>
      <c r="L36" s="99">
        <f>K36/J36*100</f>
        <v>54.21111111111111</v>
      </c>
      <c r="M36" s="99"/>
      <c r="N36" s="99">
        <f t="shared" si="4"/>
        <v>9000</v>
      </c>
      <c r="O36" s="101" t="s">
        <v>932</v>
      </c>
    </row>
    <row r="37" spans="1:15" ht="15.75" customHeight="1">
      <c r="A37" s="62">
        <v>24776</v>
      </c>
      <c r="B37" s="62">
        <v>2321</v>
      </c>
      <c r="C37" s="62">
        <v>6121</v>
      </c>
      <c r="D37" s="69">
        <v>35</v>
      </c>
      <c r="E37" s="66" t="s">
        <v>845</v>
      </c>
      <c r="F37" s="64">
        <v>400</v>
      </c>
      <c r="G37" s="99">
        <v>400000</v>
      </c>
      <c r="H37" s="65"/>
      <c r="I37" s="65">
        <f t="shared" si="3"/>
        <v>400000</v>
      </c>
      <c r="J37" s="99">
        <f t="shared" si="6"/>
        <v>400000</v>
      </c>
      <c r="K37" s="65"/>
      <c r="L37" s="99"/>
      <c r="M37" s="99"/>
      <c r="N37" s="99">
        <f t="shared" si="4"/>
        <v>400000</v>
      </c>
      <c r="O37" s="101" t="s">
        <v>932</v>
      </c>
    </row>
    <row r="38" spans="1:15" ht="15.75" customHeight="1">
      <c r="A38" s="69">
        <v>24763</v>
      </c>
      <c r="B38" s="69">
        <v>3635</v>
      </c>
      <c r="C38" s="130">
        <v>6121</v>
      </c>
      <c r="D38" s="181">
        <v>36</v>
      </c>
      <c r="E38" s="101" t="s">
        <v>846</v>
      </c>
      <c r="F38" s="64">
        <v>2210</v>
      </c>
      <c r="G38" s="99">
        <v>2210000</v>
      </c>
      <c r="H38" s="65"/>
      <c r="I38" s="65">
        <f t="shared" si="3"/>
        <v>2210000</v>
      </c>
      <c r="J38" s="99">
        <f t="shared" si="6"/>
        <v>2210000</v>
      </c>
      <c r="K38" s="65">
        <v>2206032.4</v>
      </c>
      <c r="L38" s="99">
        <f aca="true" t="shared" si="7" ref="L38:L43">K38/J38*100</f>
        <v>99.82047058823528</v>
      </c>
      <c r="M38" s="99"/>
      <c r="N38" s="99">
        <f t="shared" si="4"/>
        <v>2210000</v>
      </c>
      <c r="O38" s="101" t="s">
        <v>932</v>
      </c>
    </row>
    <row r="39" spans="1:15" ht="15.75" customHeight="1">
      <c r="A39" s="69">
        <v>25034</v>
      </c>
      <c r="B39" s="69">
        <v>5399</v>
      </c>
      <c r="C39" s="130">
        <v>6121</v>
      </c>
      <c r="D39" s="69">
        <v>37</v>
      </c>
      <c r="E39" s="101" t="s">
        <v>178</v>
      </c>
      <c r="F39" s="64">
        <v>0</v>
      </c>
      <c r="G39" s="99">
        <v>500000</v>
      </c>
      <c r="H39" s="65">
        <v>340000</v>
      </c>
      <c r="I39" s="65">
        <f t="shared" si="3"/>
        <v>840000</v>
      </c>
      <c r="J39" s="99">
        <f t="shared" si="6"/>
        <v>840000</v>
      </c>
      <c r="K39" s="65">
        <v>227600</v>
      </c>
      <c r="L39" s="99">
        <f t="shared" si="7"/>
        <v>27.095238095238095</v>
      </c>
      <c r="M39" s="99"/>
      <c r="N39" s="99">
        <f t="shared" si="4"/>
        <v>840000</v>
      </c>
      <c r="O39" s="101" t="s">
        <v>847</v>
      </c>
    </row>
    <row r="40" spans="1:15" ht="15.75" customHeight="1">
      <c r="A40" s="69">
        <v>24878</v>
      </c>
      <c r="B40" s="69">
        <v>2219</v>
      </c>
      <c r="C40" s="130">
        <v>6121</v>
      </c>
      <c r="D40" s="181">
        <v>38</v>
      </c>
      <c r="E40" s="101" t="s">
        <v>848</v>
      </c>
      <c r="F40" s="64">
        <v>0</v>
      </c>
      <c r="G40" s="99">
        <v>39000</v>
      </c>
      <c r="H40" s="65"/>
      <c r="I40" s="65">
        <f t="shared" si="3"/>
        <v>39000</v>
      </c>
      <c r="J40" s="99">
        <f t="shared" si="6"/>
        <v>39000</v>
      </c>
      <c r="K40" s="65">
        <v>38876.8</v>
      </c>
      <c r="L40" s="99">
        <f t="shared" si="7"/>
        <v>99.68410256410257</v>
      </c>
      <c r="M40" s="99"/>
      <c r="N40" s="99">
        <f t="shared" si="4"/>
        <v>39000</v>
      </c>
      <c r="O40" s="101" t="s">
        <v>932</v>
      </c>
    </row>
    <row r="41" spans="1:15" ht="15.75" customHeight="1">
      <c r="A41" s="69">
        <v>25064</v>
      </c>
      <c r="B41" s="69">
        <v>3631</v>
      </c>
      <c r="C41" s="130">
        <v>6121</v>
      </c>
      <c r="D41" s="69">
        <v>39</v>
      </c>
      <c r="E41" s="101" t="s">
        <v>96</v>
      </c>
      <c r="F41" s="64">
        <v>0</v>
      </c>
      <c r="G41" s="99"/>
      <c r="H41" s="65"/>
      <c r="I41" s="65"/>
      <c r="J41" s="99">
        <v>84000</v>
      </c>
      <c r="K41" s="65">
        <v>82705</v>
      </c>
      <c r="L41" s="99">
        <f t="shared" si="7"/>
        <v>98.45833333333334</v>
      </c>
      <c r="M41" s="99"/>
      <c r="N41" s="99"/>
      <c r="O41" s="101" t="s">
        <v>932</v>
      </c>
    </row>
    <row r="42" spans="1:15" ht="15.75" customHeight="1">
      <c r="A42" s="97">
        <v>24939</v>
      </c>
      <c r="B42" s="69">
        <v>2321</v>
      </c>
      <c r="C42" s="69">
        <v>6121</v>
      </c>
      <c r="D42" s="181">
        <v>40</v>
      </c>
      <c r="E42" s="66" t="s">
        <v>666</v>
      </c>
      <c r="F42" s="64">
        <v>650</v>
      </c>
      <c r="G42" s="99">
        <v>650000</v>
      </c>
      <c r="H42" s="65"/>
      <c r="I42" s="65">
        <f>G42+H42</f>
        <v>650000</v>
      </c>
      <c r="J42" s="99">
        <f aca="true" t="shared" si="8" ref="J42:J67">N42</f>
        <v>650000</v>
      </c>
      <c r="K42" s="65">
        <v>596816.8</v>
      </c>
      <c r="L42" s="99">
        <f t="shared" si="7"/>
        <v>91.81796923076924</v>
      </c>
      <c r="M42" s="99"/>
      <c r="N42" s="99">
        <f aca="true" t="shared" si="9" ref="N42:N72">I42-M42</f>
        <v>650000</v>
      </c>
      <c r="O42" s="101" t="s">
        <v>932</v>
      </c>
    </row>
    <row r="43" spans="1:15" ht="15.75" customHeight="1">
      <c r="A43" s="189" t="s">
        <v>849</v>
      </c>
      <c r="B43" s="69">
        <v>2212</v>
      </c>
      <c r="C43" s="69">
        <v>6121</v>
      </c>
      <c r="D43" s="69">
        <v>41</v>
      </c>
      <c r="E43" s="66" t="s">
        <v>850</v>
      </c>
      <c r="F43" s="64">
        <v>130</v>
      </c>
      <c r="G43" s="99">
        <v>130000</v>
      </c>
      <c r="H43" s="65"/>
      <c r="I43" s="65">
        <v>130000</v>
      </c>
      <c r="J43" s="99">
        <f t="shared" si="8"/>
        <v>130000</v>
      </c>
      <c r="K43" s="65">
        <v>120666</v>
      </c>
      <c r="L43" s="99">
        <f t="shared" si="7"/>
        <v>92.82000000000001</v>
      </c>
      <c r="M43" s="99"/>
      <c r="N43" s="99">
        <f t="shared" si="9"/>
        <v>130000</v>
      </c>
      <c r="O43" s="101" t="s">
        <v>932</v>
      </c>
    </row>
    <row r="44" spans="1:15" ht="15.75" customHeight="1">
      <c r="A44" s="73">
        <v>24863</v>
      </c>
      <c r="B44" s="73">
        <v>2219</v>
      </c>
      <c r="C44" s="73">
        <v>6121</v>
      </c>
      <c r="D44" s="181">
        <v>42</v>
      </c>
      <c r="E44" s="101" t="s">
        <v>851</v>
      </c>
      <c r="F44" s="184">
        <v>60</v>
      </c>
      <c r="G44" s="99">
        <v>75000</v>
      </c>
      <c r="H44" s="185"/>
      <c r="I44" s="65">
        <f aca="true" t="shared" si="10" ref="I44:I49">G44+H44</f>
        <v>75000</v>
      </c>
      <c r="J44" s="99">
        <f t="shared" si="8"/>
        <v>75000</v>
      </c>
      <c r="K44" s="185">
        <v>72911.3</v>
      </c>
      <c r="L44" s="99">
        <f>K44/J44*100</f>
        <v>97.21506666666667</v>
      </c>
      <c r="M44" s="99"/>
      <c r="N44" s="99">
        <f t="shared" si="9"/>
        <v>75000</v>
      </c>
      <c r="O44" s="101" t="s">
        <v>932</v>
      </c>
    </row>
    <row r="45" spans="1:15" ht="15.75" customHeight="1">
      <c r="A45" s="73">
        <v>24978</v>
      </c>
      <c r="B45" s="73">
        <v>2219</v>
      </c>
      <c r="C45" s="73">
        <v>6121</v>
      </c>
      <c r="D45" s="69">
        <v>43</v>
      </c>
      <c r="E45" s="101" t="s">
        <v>852</v>
      </c>
      <c r="F45" s="184">
        <v>0</v>
      </c>
      <c r="G45" s="99">
        <v>145000</v>
      </c>
      <c r="H45" s="185"/>
      <c r="I45" s="65">
        <f t="shared" si="10"/>
        <v>145000</v>
      </c>
      <c r="J45" s="99">
        <f t="shared" si="8"/>
        <v>145000</v>
      </c>
      <c r="K45" s="185">
        <v>111860</v>
      </c>
      <c r="L45" s="99">
        <f>K45/J45*100</f>
        <v>77.1448275862069</v>
      </c>
      <c r="M45" s="99"/>
      <c r="N45" s="99">
        <f t="shared" si="9"/>
        <v>145000</v>
      </c>
      <c r="O45" s="101" t="s">
        <v>932</v>
      </c>
    </row>
    <row r="46" spans="1:15" ht="15.75" customHeight="1">
      <c r="A46" s="129">
        <v>20863</v>
      </c>
      <c r="B46" s="62">
        <v>2219</v>
      </c>
      <c r="C46" s="62">
        <v>6121</v>
      </c>
      <c r="D46" s="181">
        <v>44</v>
      </c>
      <c r="E46" s="101" t="s">
        <v>674</v>
      </c>
      <c r="F46" s="182">
        <v>1000</v>
      </c>
      <c r="G46" s="99">
        <v>0</v>
      </c>
      <c r="H46" s="183"/>
      <c r="I46" s="65">
        <f t="shared" si="10"/>
        <v>0</v>
      </c>
      <c r="J46" s="99">
        <f t="shared" si="8"/>
        <v>0</v>
      </c>
      <c r="K46" s="183"/>
      <c r="L46" s="99"/>
      <c r="M46" s="99"/>
      <c r="N46" s="99">
        <f t="shared" si="9"/>
        <v>0</v>
      </c>
      <c r="O46" s="101" t="s">
        <v>932</v>
      </c>
    </row>
    <row r="47" spans="1:15" ht="15.75" customHeight="1">
      <c r="A47" s="69">
        <v>24852</v>
      </c>
      <c r="B47" s="69">
        <v>2212</v>
      </c>
      <c r="C47" s="69">
        <v>6121</v>
      </c>
      <c r="D47" s="69">
        <v>45</v>
      </c>
      <c r="E47" s="66" t="s">
        <v>675</v>
      </c>
      <c r="F47" s="64">
        <v>575</v>
      </c>
      <c r="G47" s="99">
        <v>614000</v>
      </c>
      <c r="H47" s="65"/>
      <c r="I47" s="65">
        <f t="shared" si="10"/>
        <v>614000</v>
      </c>
      <c r="J47" s="99">
        <f t="shared" si="8"/>
        <v>614000</v>
      </c>
      <c r="K47" s="65">
        <v>569024</v>
      </c>
      <c r="L47" s="99">
        <f>K47/J47*100</f>
        <v>92.67491856677525</v>
      </c>
      <c r="M47" s="99"/>
      <c r="N47" s="99">
        <f t="shared" si="9"/>
        <v>614000</v>
      </c>
      <c r="O47" s="101" t="s">
        <v>932</v>
      </c>
    </row>
    <row r="48" spans="1:15" ht="15.75" customHeight="1">
      <c r="A48" s="97">
        <v>24940</v>
      </c>
      <c r="B48" s="97">
        <v>3311</v>
      </c>
      <c r="C48" s="97">
        <v>6121</v>
      </c>
      <c r="D48" s="181">
        <v>46</v>
      </c>
      <c r="E48" s="66" t="s">
        <v>853</v>
      </c>
      <c r="F48" s="70">
        <v>300</v>
      </c>
      <c r="G48" s="99">
        <v>405000</v>
      </c>
      <c r="H48" s="71"/>
      <c r="I48" s="65">
        <f t="shared" si="10"/>
        <v>405000</v>
      </c>
      <c r="J48" s="99">
        <f t="shared" si="8"/>
        <v>405000</v>
      </c>
      <c r="K48" s="71">
        <v>404600</v>
      </c>
      <c r="L48" s="99">
        <f>K48/J48*100</f>
        <v>99.90123456790123</v>
      </c>
      <c r="M48" s="99"/>
      <c r="N48" s="99">
        <f t="shared" si="9"/>
        <v>405000</v>
      </c>
      <c r="O48" s="101" t="s">
        <v>932</v>
      </c>
    </row>
    <row r="49" spans="1:15" ht="15.75" customHeight="1">
      <c r="A49" s="97">
        <v>25000</v>
      </c>
      <c r="B49" s="97">
        <v>3311</v>
      </c>
      <c r="C49" s="97">
        <v>6121</v>
      </c>
      <c r="D49" s="69">
        <v>47</v>
      </c>
      <c r="E49" s="66" t="s">
        <v>854</v>
      </c>
      <c r="F49" s="70">
        <v>0</v>
      </c>
      <c r="G49" s="99">
        <v>50000</v>
      </c>
      <c r="H49" s="71"/>
      <c r="I49" s="65">
        <f t="shared" si="10"/>
        <v>50000</v>
      </c>
      <c r="J49" s="99">
        <f t="shared" si="8"/>
        <v>50000</v>
      </c>
      <c r="K49" s="71"/>
      <c r="L49" s="99"/>
      <c r="M49" s="99"/>
      <c r="N49" s="99">
        <f t="shared" si="9"/>
        <v>50000</v>
      </c>
      <c r="O49" s="101" t="s">
        <v>932</v>
      </c>
    </row>
    <row r="50" spans="1:15" ht="15.75" customHeight="1">
      <c r="A50" s="73">
        <v>24865</v>
      </c>
      <c r="B50" s="69">
        <v>2219</v>
      </c>
      <c r="C50" s="69">
        <v>6121</v>
      </c>
      <c r="D50" s="181">
        <v>48</v>
      </c>
      <c r="E50" s="101" t="s">
        <v>1081</v>
      </c>
      <c r="F50" s="64">
        <v>1357</v>
      </c>
      <c r="G50" s="99">
        <v>3243000</v>
      </c>
      <c r="H50" s="65"/>
      <c r="I50" s="65">
        <v>3243000</v>
      </c>
      <c r="J50" s="99">
        <f t="shared" si="8"/>
        <v>3243000</v>
      </c>
      <c r="K50" s="65">
        <v>3091108.3</v>
      </c>
      <c r="L50" s="99">
        <f>K50/J50*100</f>
        <v>95.31632130743138</v>
      </c>
      <c r="M50" s="99"/>
      <c r="N50" s="99">
        <f t="shared" si="9"/>
        <v>3243000</v>
      </c>
      <c r="O50" s="101" t="s">
        <v>932</v>
      </c>
    </row>
    <row r="51" spans="1:15" ht="15.75" customHeight="1">
      <c r="A51" s="73">
        <v>24961</v>
      </c>
      <c r="B51" s="69">
        <v>2219</v>
      </c>
      <c r="C51" s="69">
        <v>6121</v>
      </c>
      <c r="D51" s="69">
        <v>49</v>
      </c>
      <c r="E51" s="101" t="s">
        <v>855</v>
      </c>
      <c r="F51" s="64">
        <v>0</v>
      </c>
      <c r="G51" s="99">
        <v>400000</v>
      </c>
      <c r="H51" s="65"/>
      <c r="I51" s="65">
        <f aca="true" t="shared" si="11" ref="I51:I68">G51+H51</f>
        <v>400000</v>
      </c>
      <c r="J51" s="99">
        <f t="shared" si="8"/>
        <v>400000</v>
      </c>
      <c r="K51" s="65">
        <v>330463</v>
      </c>
      <c r="L51" s="99">
        <f>K51/J51*100</f>
        <v>82.61575</v>
      </c>
      <c r="M51" s="99"/>
      <c r="N51" s="99">
        <f t="shared" si="9"/>
        <v>400000</v>
      </c>
      <c r="O51" s="101" t="s">
        <v>932</v>
      </c>
    </row>
    <row r="52" spans="1:15" ht="15.75" customHeight="1">
      <c r="A52" s="97">
        <v>24963</v>
      </c>
      <c r="B52" s="97">
        <v>2219</v>
      </c>
      <c r="C52" s="97">
        <v>6121</v>
      </c>
      <c r="D52" s="181">
        <v>50</v>
      </c>
      <c r="E52" s="66" t="s">
        <v>856</v>
      </c>
      <c r="F52" s="70">
        <v>0</v>
      </c>
      <c r="G52" s="99">
        <v>60000</v>
      </c>
      <c r="H52" s="71"/>
      <c r="I52" s="65">
        <f t="shared" si="11"/>
        <v>60000</v>
      </c>
      <c r="J52" s="99">
        <f t="shared" si="8"/>
        <v>60000</v>
      </c>
      <c r="K52" s="71">
        <v>55454</v>
      </c>
      <c r="L52" s="99">
        <f>K52/J52*100</f>
        <v>92.42333333333333</v>
      </c>
      <c r="M52" s="99"/>
      <c r="N52" s="99">
        <f t="shared" si="9"/>
        <v>60000</v>
      </c>
      <c r="O52" s="101" t="s">
        <v>932</v>
      </c>
    </row>
    <row r="53" spans="1:15" ht="15.75" customHeight="1">
      <c r="A53" s="97">
        <v>24575</v>
      </c>
      <c r="B53" s="97">
        <v>2212</v>
      </c>
      <c r="C53" s="97">
        <v>6121</v>
      </c>
      <c r="D53" s="69">
        <v>51</v>
      </c>
      <c r="E53" s="66" t="s">
        <v>857</v>
      </c>
      <c r="F53" s="70">
        <v>0</v>
      </c>
      <c r="G53" s="99">
        <v>127000</v>
      </c>
      <c r="H53" s="71"/>
      <c r="I53" s="65">
        <f t="shared" si="11"/>
        <v>127000</v>
      </c>
      <c r="J53" s="99">
        <f t="shared" si="8"/>
        <v>127000</v>
      </c>
      <c r="K53" s="71">
        <v>125111.84</v>
      </c>
      <c r="L53" s="99">
        <f>K53/J53*100</f>
        <v>98.51325984251969</v>
      </c>
      <c r="M53" s="99"/>
      <c r="N53" s="99">
        <f t="shared" si="9"/>
        <v>127000</v>
      </c>
      <c r="O53" s="101" t="s">
        <v>932</v>
      </c>
    </row>
    <row r="54" spans="1:15" ht="15.75" customHeight="1">
      <c r="A54" s="97">
        <v>25021</v>
      </c>
      <c r="B54" s="97">
        <v>2212</v>
      </c>
      <c r="C54" s="97">
        <v>6121</v>
      </c>
      <c r="D54" s="181">
        <v>52</v>
      </c>
      <c r="E54" s="66" t="s">
        <v>858</v>
      </c>
      <c r="F54" s="70">
        <v>0</v>
      </c>
      <c r="G54" s="99">
        <v>300000</v>
      </c>
      <c r="H54" s="71"/>
      <c r="I54" s="65">
        <f t="shared" si="11"/>
        <v>300000</v>
      </c>
      <c r="J54" s="99">
        <f t="shared" si="8"/>
        <v>300000</v>
      </c>
      <c r="K54" s="71">
        <v>237048</v>
      </c>
      <c r="L54" s="99">
        <f>K54/J54*100</f>
        <v>79.01599999999999</v>
      </c>
      <c r="M54" s="99"/>
      <c r="N54" s="99">
        <f t="shared" si="9"/>
        <v>300000</v>
      </c>
      <c r="O54" s="101" t="s">
        <v>932</v>
      </c>
    </row>
    <row r="55" spans="1:15" ht="15.75" customHeight="1">
      <c r="A55" s="97">
        <v>24984</v>
      </c>
      <c r="B55" s="97">
        <v>3111</v>
      </c>
      <c r="C55" s="97">
        <v>6121</v>
      </c>
      <c r="D55" s="69">
        <v>53</v>
      </c>
      <c r="E55" s="66" t="s">
        <v>859</v>
      </c>
      <c r="F55" s="70">
        <v>0</v>
      </c>
      <c r="G55" s="99">
        <v>238000</v>
      </c>
      <c r="H55" s="71"/>
      <c r="I55" s="65">
        <f t="shared" si="11"/>
        <v>238000</v>
      </c>
      <c r="J55" s="99">
        <f t="shared" si="8"/>
        <v>238000</v>
      </c>
      <c r="K55" s="71">
        <v>238000</v>
      </c>
      <c r="L55" s="99">
        <f aca="true" t="shared" si="12" ref="L55:L64">K55/J55*100</f>
        <v>100</v>
      </c>
      <c r="M55" s="99"/>
      <c r="N55" s="99">
        <f t="shared" si="9"/>
        <v>238000</v>
      </c>
      <c r="O55" s="101" t="s">
        <v>932</v>
      </c>
    </row>
    <row r="56" spans="1:15" ht="15.75" customHeight="1">
      <c r="A56" s="190">
        <v>24941</v>
      </c>
      <c r="B56" s="190">
        <v>3111</v>
      </c>
      <c r="C56" s="191">
        <v>6121</v>
      </c>
      <c r="D56" s="181">
        <v>54</v>
      </c>
      <c r="E56" s="66" t="s">
        <v>677</v>
      </c>
      <c r="F56" s="70">
        <v>70</v>
      </c>
      <c r="G56" s="99">
        <v>100000</v>
      </c>
      <c r="H56" s="71"/>
      <c r="I56" s="65">
        <f t="shared" si="11"/>
        <v>100000</v>
      </c>
      <c r="J56" s="99">
        <f t="shared" si="8"/>
        <v>100000</v>
      </c>
      <c r="K56" s="71">
        <v>93713</v>
      </c>
      <c r="L56" s="99">
        <f t="shared" si="12"/>
        <v>93.71300000000001</v>
      </c>
      <c r="M56" s="99"/>
      <c r="N56" s="99">
        <f t="shared" si="9"/>
        <v>100000</v>
      </c>
      <c r="O56" s="101" t="s">
        <v>932</v>
      </c>
    </row>
    <row r="57" spans="1:15" ht="15.75" customHeight="1">
      <c r="A57" s="190">
        <v>24985</v>
      </c>
      <c r="B57" s="190">
        <v>3111</v>
      </c>
      <c r="C57" s="191">
        <v>6121</v>
      </c>
      <c r="D57" s="69">
        <v>55</v>
      </c>
      <c r="E57" s="66" t="s">
        <v>860</v>
      </c>
      <c r="F57" s="70">
        <v>0</v>
      </c>
      <c r="G57" s="99">
        <v>250000</v>
      </c>
      <c r="H57" s="71"/>
      <c r="I57" s="65">
        <f t="shared" si="11"/>
        <v>250000</v>
      </c>
      <c r="J57" s="99">
        <f t="shared" si="8"/>
        <v>250000</v>
      </c>
      <c r="K57" s="71">
        <v>249900</v>
      </c>
      <c r="L57" s="99">
        <f t="shared" si="12"/>
        <v>99.96000000000001</v>
      </c>
      <c r="M57" s="99"/>
      <c r="N57" s="99">
        <f t="shared" si="9"/>
        <v>250000</v>
      </c>
      <c r="O57" s="101" t="s">
        <v>932</v>
      </c>
    </row>
    <row r="58" spans="1:15" ht="15.75" customHeight="1">
      <c r="A58" s="190">
        <v>24791</v>
      </c>
      <c r="B58" s="190">
        <v>3111</v>
      </c>
      <c r="C58" s="191">
        <v>6121</v>
      </c>
      <c r="D58" s="181">
        <v>56</v>
      </c>
      <c r="E58" s="66" t="s">
        <v>861</v>
      </c>
      <c r="F58" s="70">
        <v>0</v>
      </c>
      <c r="G58" s="99">
        <v>15000</v>
      </c>
      <c r="H58" s="71"/>
      <c r="I58" s="65">
        <f t="shared" si="11"/>
        <v>15000</v>
      </c>
      <c r="J58" s="99">
        <f t="shared" si="8"/>
        <v>15000</v>
      </c>
      <c r="K58" s="71">
        <v>14875</v>
      </c>
      <c r="L58" s="99">
        <f t="shared" si="12"/>
        <v>99.16666666666667</v>
      </c>
      <c r="M58" s="99"/>
      <c r="N58" s="99">
        <f t="shared" si="9"/>
        <v>15000</v>
      </c>
      <c r="O58" s="101" t="s">
        <v>932</v>
      </c>
    </row>
    <row r="59" spans="1:15" ht="15.75" customHeight="1">
      <c r="A59" s="190">
        <v>24986</v>
      </c>
      <c r="B59" s="190">
        <v>3111</v>
      </c>
      <c r="C59" s="191">
        <v>6121</v>
      </c>
      <c r="D59" s="69">
        <v>57</v>
      </c>
      <c r="E59" s="66" t="s">
        <v>862</v>
      </c>
      <c r="F59" s="70">
        <v>0</v>
      </c>
      <c r="G59" s="99">
        <v>274000</v>
      </c>
      <c r="H59" s="71"/>
      <c r="I59" s="65">
        <f t="shared" si="11"/>
        <v>274000</v>
      </c>
      <c r="J59" s="99">
        <f t="shared" si="8"/>
        <v>274000</v>
      </c>
      <c r="K59" s="71">
        <v>273700</v>
      </c>
      <c r="L59" s="99">
        <f t="shared" si="12"/>
        <v>99.8905109489051</v>
      </c>
      <c r="M59" s="99"/>
      <c r="N59" s="99">
        <f t="shared" si="9"/>
        <v>274000</v>
      </c>
      <c r="O59" s="101" t="s">
        <v>932</v>
      </c>
    </row>
    <row r="60" spans="1:21" s="95" customFormat="1" ht="15.75" customHeight="1">
      <c r="A60" s="69">
        <v>25022</v>
      </c>
      <c r="B60" s="69">
        <v>3111</v>
      </c>
      <c r="C60" s="69">
        <v>6121</v>
      </c>
      <c r="D60" s="181">
        <v>58</v>
      </c>
      <c r="E60" s="63" t="s">
        <v>679</v>
      </c>
      <c r="F60" s="64">
        <v>0</v>
      </c>
      <c r="G60" s="65">
        <v>170000</v>
      </c>
      <c r="H60" s="65"/>
      <c r="I60" s="65">
        <f t="shared" si="11"/>
        <v>170000</v>
      </c>
      <c r="J60" s="99">
        <f t="shared" si="8"/>
        <v>170000</v>
      </c>
      <c r="K60" s="65">
        <v>149961</v>
      </c>
      <c r="L60" s="99">
        <f t="shared" si="12"/>
        <v>88.21235294117648</v>
      </c>
      <c r="M60" s="99"/>
      <c r="N60" s="99">
        <f t="shared" si="9"/>
        <v>170000</v>
      </c>
      <c r="O60" s="66" t="s">
        <v>932</v>
      </c>
      <c r="P60" s="81"/>
      <c r="Q60" s="81"/>
      <c r="R60" s="81"/>
      <c r="S60" s="81"/>
      <c r="T60" s="81"/>
      <c r="U60" s="81"/>
    </row>
    <row r="61" spans="1:15" ht="15.75" customHeight="1">
      <c r="A61" s="190">
        <v>24988</v>
      </c>
      <c r="B61" s="190">
        <v>3111</v>
      </c>
      <c r="C61" s="191">
        <v>6121</v>
      </c>
      <c r="D61" s="69">
        <v>59</v>
      </c>
      <c r="E61" s="66" t="s">
        <v>863</v>
      </c>
      <c r="F61" s="70">
        <v>0</v>
      </c>
      <c r="G61" s="99">
        <v>333500</v>
      </c>
      <c r="H61" s="71"/>
      <c r="I61" s="65">
        <f t="shared" si="11"/>
        <v>333500</v>
      </c>
      <c r="J61" s="99">
        <f t="shared" si="8"/>
        <v>333500</v>
      </c>
      <c r="K61" s="71">
        <v>333200</v>
      </c>
      <c r="L61" s="99">
        <f t="shared" si="12"/>
        <v>99.91004497751125</v>
      </c>
      <c r="M61" s="99"/>
      <c r="N61" s="99">
        <f t="shared" si="9"/>
        <v>333500</v>
      </c>
      <c r="O61" s="101" t="s">
        <v>932</v>
      </c>
    </row>
    <row r="62" spans="1:15" ht="15.75" customHeight="1">
      <c r="A62" s="190">
        <v>24987</v>
      </c>
      <c r="B62" s="190">
        <v>3111</v>
      </c>
      <c r="C62" s="191">
        <v>6121</v>
      </c>
      <c r="D62" s="181">
        <v>60</v>
      </c>
      <c r="E62" s="66" t="s">
        <v>864</v>
      </c>
      <c r="F62" s="70">
        <v>0</v>
      </c>
      <c r="G62" s="99">
        <v>238000</v>
      </c>
      <c r="H62" s="71"/>
      <c r="I62" s="65">
        <f t="shared" si="11"/>
        <v>238000</v>
      </c>
      <c r="J62" s="99">
        <f t="shared" si="8"/>
        <v>238000</v>
      </c>
      <c r="K62" s="71">
        <v>238000</v>
      </c>
      <c r="L62" s="99">
        <f t="shared" si="12"/>
        <v>100</v>
      </c>
      <c r="M62" s="99"/>
      <c r="N62" s="99">
        <f t="shared" si="9"/>
        <v>238000</v>
      </c>
      <c r="O62" s="101" t="s">
        <v>932</v>
      </c>
    </row>
    <row r="63" spans="1:15" ht="15.75" customHeight="1">
      <c r="A63" s="192" t="s">
        <v>865</v>
      </c>
      <c r="B63" s="129">
        <v>3429</v>
      </c>
      <c r="C63" s="129">
        <v>6121</v>
      </c>
      <c r="D63" s="69">
        <v>61</v>
      </c>
      <c r="E63" s="66" t="s">
        <v>866</v>
      </c>
      <c r="F63" s="70">
        <v>648</v>
      </c>
      <c r="G63" s="99">
        <v>148000</v>
      </c>
      <c r="H63" s="71"/>
      <c r="I63" s="65">
        <f t="shared" si="11"/>
        <v>148000</v>
      </c>
      <c r="J63" s="99">
        <f t="shared" si="8"/>
        <v>148000</v>
      </c>
      <c r="K63" s="71">
        <v>136850</v>
      </c>
      <c r="L63" s="99">
        <f t="shared" si="12"/>
        <v>92.46621621621621</v>
      </c>
      <c r="M63" s="99"/>
      <c r="N63" s="99">
        <f t="shared" si="9"/>
        <v>148000</v>
      </c>
      <c r="O63" s="101" t="s">
        <v>932</v>
      </c>
    </row>
    <row r="64" spans="1:15" ht="15.75" customHeight="1">
      <c r="A64" s="192" t="s">
        <v>867</v>
      </c>
      <c r="B64" s="129">
        <v>2212</v>
      </c>
      <c r="C64" s="129">
        <v>6121</v>
      </c>
      <c r="D64" s="181">
        <v>62</v>
      </c>
      <c r="E64" s="66" t="s">
        <v>868</v>
      </c>
      <c r="F64" s="70">
        <v>0</v>
      </c>
      <c r="G64" s="99">
        <v>20000</v>
      </c>
      <c r="H64" s="71"/>
      <c r="I64" s="65">
        <f t="shared" si="11"/>
        <v>20000</v>
      </c>
      <c r="J64" s="99">
        <f t="shared" si="8"/>
        <v>20000</v>
      </c>
      <c r="K64" s="71">
        <v>19754</v>
      </c>
      <c r="L64" s="99">
        <f t="shared" si="12"/>
        <v>98.77</v>
      </c>
      <c r="M64" s="99"/>
      <c r="N64" s="99">
        <f t="shared" si="9"/>
        <v>20000</v>
      </c>
      <c r="O64" s="101" t="s">
        <v>932</v>
      </c>
    </row>
    <row r="65" spans="1:15" ht="15.75" customHeight="1">
      <c r="A65" s="192" t="s">
        <v>869</v>
      </c>
      <c r="B65" s="129">
        <v>3326</v>
      </c>
      <c r="C65" s="129">
        <v>6121</v>
      </c>
      <c r="D65" s="69">
        <v>63</v>
      </c>
      <c r="E65" s="66" t="s">
        <v>870</v>
      </c>
      <c r="F65" s="70">
        <v>0</v>
      </c>
      <c r="G65" s="99">
        <v>0</v>
      </c>
      <c r="H65" s="71">
        <v>40000</v>
      </c>
      <c r="I65" s="65">
        <f t="shared" si="11"/>
        <v>40000</v>
      </c>
      <c r="J65" s="99">
        <f t="shared" si="8"/>
        <v>40000</v>
      </c>
      <c r="K65" s="71"/>
      <c r="L65" s="99"/>
      <c r="M65" s="99"/>
      <c r="N65" s="99">
        <f t="shared" si="9"/>
        <v>40000</v>
      </c>
      <c r="O65" s="101" t="s">
        <v>932</v>
      </c>
    </row>
    <row r="66" spans="1:21" s="116" customFormat="1" ht="15.75" customHeight="1">
      <c r="A66" s="73">
        <v>24800</v>
      </c>
      <c r="B66" s="69">
        <v>2212</v>
      </c>
      <c r="C66" s="69">
        <v>6121</v>
      </c>
      <c r="D66" s="181">
        <v>64</v>
      </c>
      <c r="E66" s="193" t="s">
        <v>871</v>
      </c>
      <c r="F66" s="64">
        <v>1600</v>
      </c>
      <c r="G66" s="99">
        <v>1635000</v>
      </c>
      <c r="H66" s="65"/>
      <c r="I66" s="65">
        <f t="shared" si="11"/>
        <v>1635000</v>
      </c>
      <c r="J66" s="99">
        <f>N66-232000</f>
        <v>1403000</v>
      </c>
      <c r="K66" s="65">
        <v>1377841.5</v>
      </c>
      <c r="L66" s="99">
        <f aca="true" t="shared" si="13" ref="L66:L75">K66/J66*100</f>
        <v>98.2068068424804</v>
      </c>
      <c r="M66" s="99"/>
      <c r="N66" s="99">
        <f t="shared" si="9"/>
        <v>1635000</v>
      </c>
      <c r="O66" s="101" t="s">
        <v>932</v>
      </c>
      <c r="P66" s="114"/>
      <c r="Q66" s="115"/>
      <c r="R66" s="115"/>
      <c r="S66" s="115"/>
      <c r="T66" s="115"/>
      <c r="U66" s="115"/>
    </row>
    <row r="67" spans="1:21" s="116" customFormat="1" ht="15.75" customHeight="1">
      <c r="A67" s="62">
        <v>24794</v>
      </c>
      <c r="B67" s="62">
        <v>3322</v>
      </c>
      <c r="C67" s="62">
        <v>6121</v>
      </c>
      <c r="D67" s="69">
        <v>65</v>
      </c>
      <c r="E67" s="66" t="s">
        <v>872</v>
      </c>
      <c r="F67" s="70">
        <v>300</v>
      </c>
      <c r="G67" s="99">
        <v>200000</v>
      </c>
      <c r="H67" s="71"/>
      <c r="I67" s="65">
        <f t="shared" si="11"/>
        <v>200000</v>
      </c>
      <c r="J67" s="99">
        <f t="shared" si="8"/>
        <v>200000</v>
      </c>
      <c r="K67" s="71">
        <v>166874</v>
      </c>
      <c r="L67" s="99">
        <f t="shared" si="13"/>
        <v>83.437</v>
      </c>
      <c r="M67" s="99"/>
      <c r="N67" s="99">
        <f t="shared" si="9"/>
        <v>200000</v>
      </c>
      <c r="O67" s="101" t="s">
        <v>932</v>
      </c>
      <c r="P67" s="114"/>
      <c r="Q67" s="115"/>
      <c r="R67" s="115"/>
      <c r="S67" s="115"/>
      <c r="T67" s="115"/>
      <c r="U67" s="115"/>
    </row>
    <row r="68" spans="1:21" s="116" customFormat="1" ht="24" customHeight="1">
      <c r="A68" s="62">
        <v>24455</v>
      </c>
      <c r="B68" s="62">
        <v>2212</v>
      </c>
      <c r="C68" s="62">
        <v>6121</v>
      </c>
      <c r="D68" s="181">
        <v>66</v>
      </c>
      <c r="E68" s="66" t="s">
        <v>55</v>
      </c>
      <c r="F68" s="70">
        <v>0</v>
      </c>
      <c r="G68" s="99">
        <v>262000</v>
      </c>
      <c r="H68" s="71"/>
      <c r="I68" s="65">
        <f t="shared" si="11"/>
        <v>262000</v>
      </c>
      <c r="J68" s="99">
        <f>N68+300000</f>
        <v>562000</v>
      </c>
      <c r="K68" s="71">
        <v>511171.7</v>
      </c>
      <c r="L68" s="99">
        <f t="shared" si="13"/>
        <v>90.95581850533809</v>
      </c>
      <c r="M68" s="99"/>
      <c r="N68" s="99">
        <f t="shared" si="9"/>
        <v>262000</v>
      </c>
      <c r="O68" s="101" t="s">
        <v>932</v>
      </c>
      <c r="P68" s="114"/>
      <c r="Q68" s="115"/>
      <c r="R68" s="115"/>
      <c r="S68" s="115"/>
      <c r="T68" s="115"/>
      <c r="U68" s="115"/>
    </row>
    <row r="69" spans="1:21" s="104" customFormat="1" ht="15.75" customHeight="1">
      <c r="A69" s="97">
        <v>24598</v>
      </c>
      <c r="B69" s="97">
        <v>2212</v>
      </c>
      <c r="C69" s="69">
        <v>6121</v>
      </c>
      <c r="D69" s="69">
        <v>67</v>
      </c>
      <c r="E69" s="66" t="s">
        <v>139</v>
      </c>
      <c r="F69" s="98">
        <v>100</v>
      </c>
      <c r="G69" s="99">
        <v>125000</v>
      </c>
      <c r="H69" s="100"/>
      <c r="I69" s="65">
        <v>125000</v>
      </c>
      <c r="J69" s="99">
        <f aca="true" t="shared" si="14" ref="J69:J74">N69</f>
        <v>125000</v>
      </c>
      <c r="K69" s="100">
        <v>123760</v>
      </c>
      <c r="L69" s="99">
        <f t="shared" si="13"/>
        <v>99.008</v>
      </c>
      <c r="M69" s="99"/>
      <c r="N69" s="99">
        <f t="shared" si="9"/>
        <v>125000</v>
      </c>
      <c r="O69" s="101" t="s">
        <v>932</v>
      </c>
      <c r="P69" s="102"/>
      <c r="Q69" s="103"/>
      <c r="R69" s="103"/>
      <c r="S69" s="103"/>
      <c r="T69" s="103"/>
      <c r="U69" s="103"/>
    </row>
    <row r="70" spans="1:21" s="116" customFormat="1" ht="15.75" customHeight="1">
      <c r="A70" s="97">
        <v>24599</v>
      </c>
      <c r="B70" s="97">
        <v>2212</v>
      </c>
      <c r="C70" s="69">
        <v>6121</v>
      </c>
      <c r="D70" s="181">
        <v>68</v>
      </c>
      <c r="E70" s="66" t="s">
        <v>76</v>
      </c>
      <c r="F70" s="98">
        <v>100</v>
      </c>
      <c r="G70" s="99">
        <v>120000</v>
      </c>
      <c r="H70" s="100"/>
      <c r="I70" s="65">
        <v>120000</v>
      </c>
      <c r="J70" s="99">
        <f t="shared" si="14"/>
        <v>120000</v>
      </c>
      <c r="K70" s="100">
        <v>117810</v>
      </c>
      <c r="L70" s="99">
        <f t="shared" si="13"/>
        <v>98.175</v>
      </c>
      <c r="M70" s="99"/>
      <c r="N70" s="99">
        <f t="shared" si="9"/>
        <v>120000</v>
      </c>
      <c r="O70" s="101" t="s">
        <v>932</v>
      </c>
      <c r="P70" s="114"/>
      <c r="Q70" s="115"/>
      <c r="R70" s="115"/>
      <c r="S70" s="115"/>
      <c r="T70" s="115"/>
      <c r="U70" s="115"/>
    </row>
    <row r="71" spans="1:21" s="116" customFormat="1" ht="15.75" customHeight="1">
      <c r="A71" s="69">
        <v>20969</v>
      </c>
      <c r="B71" s="69">
        <v>2212</v>
      </c>
      <c r="C71" s="69">
        <v>6121</v>
      </c>
      <c r="D71" s="69">
        <v>69</v>
      </c>
      <c r="E71" s="66" t="s">
        <v>56</v>
      </c>
      <c r="F71" s="186">
        <v>610</v>
      </c>
      <c r="G71" s="99">
        <v>610000</v>
      </c>
      <c r="H71" s="187"/>
      <c r="I71" s="65">
        <f aca="true" t="shared" si="15" ref="I71:I97">G71+H71</f>
        <v>610000</v>
      </c>
      <c r="J71" s="99">
        <f t="shared" si="14"/>
        <v>610000</v>
      </c>
      <c r="K71" s="187">
        <v>204442</v>
      </c>
      <c r="L71" s="99">
        <f t="shared" si="13"/>
        <v>33.51508196721312</v>
      </c>
      <c r="M71" s="99"/>
      <c r="N71" s="99">
        <f t="shared" si="9"/>
        <v>610000</v>
      </c>
      <c r="O71" s="101" t="s">
        <v>932</v>
      </c>
      <c r="P71" s="194"/>
      <c r="Q71" s="195"/>
      <c r="R71" s="115"/>
      <c r="S71" s="115"/>
      <c r="T71" s="115"/>
      <c r="U71" s="115"/>
    </row>
    <row r="72" spans="1:21" s="116" customFormat="1" ht="15.75" customHeight="1">
      <c r="A72" s="69">
        <v>24806</v>
      </c>
      <c r="B72" s="69">
        <v>2219</v>
      </c>
      <c r="C72" s="69">
        <v>6121</v>
      </c>
      <c r="D72" s="181">
        <v>70</v>
      </c>
      <c r="E72" s="66" t="s">
        <v>42</v>
      </c>
      <c r="F72" s="186">
        <v>110</v>
      </c>
      <c r="G72" s="99">
        <v>110000</v>
      </c>
      <c r="H72" s="187"/>
      <c r="I72" s="65">
        <f t="shared" si="15"/>
        <v>110000</v>
      </c>
      <c r="J72" s="99">
        <f t="shared" si="14"/>
        <v>110000</v>
      </c>
      <c r="K72" s="187">
        <v>107100</v>
      </c>
      <c r="L72" s="99">
        <f t="shared" si="13"/>
        <v>97.36363636363636</v>
      </c>
      <c r="M72" s="99"/>
      <c r="N72" s="99">
        <f t="shared" si="9"/>
        <v>110000</v>
      </c>
      <c r="O72" s="101" t="s">
        <v>932</v>
      </c>
      <c r="P72" s="194"/>
      <c r="Q72" s="195"/>
      <c r="R72" s="115"/>
      <c r="S72" s="115"/>
      <c r="T72" s="115"/>
      <c r="U72" s="115"/>
    </row>
    <row r="73" spans="1:21" s="116" customFormat="1" ht="15.75" customHeight="1">
      <c r="A73" s="97">
        <v>24944</v>
      </c>
      <c r="B73" s="97">
        <v>3429</v>
      </c>
      <c r="C73" s="97">
        <v>6121</v>
      </c>
      <c r="D73" s="69">
        <v>71</v>
      </c>
      <c r="E73" s="66" t="s">
        <v>57</v>
      </c>
      <c r="F73" s="70">
        <v>1000</v>
      </c>
      <c r="G73" s="99">
        <v>1750000</v>
      </c>
      <c r="H73" s="71"/>
      <c r="I73" s="65">
        <f t="shared" si="15"/>
        <v>1750000</v>
      </c>
      <c r="J73" s="99">
        <f t="shared" si="14"/>
        <v>1750000</v>
      </c>
      <c r="K73" s="71">
        <v>1397774</v>
      </c>
      <c r="L73" s="99">
        <f t="shared" si="13"/>
        <v>79.8728</v>
      </c>
      <c r="M73" s="99"/>
      <c r="N73" s="99">
        <f aca="true" t="shared" si="16" ref="N73:N101">I73-M73</f>
        <v>1750000</v>
      </c>
      <c r="O73" s="101" t="s">
        <v>932</v>
      </c>
      <c r="P73" s="114"/>
      <c r="Q73" s="115"/>
      <c r="R73" s="115"/>
      <c r="S73" s="115"/>
      <c r="T73" s="115"/>
      <c r="U73" s="115"/>
    </row>
    <row r="74" spans="1:21" s="116" customFormat="1" ht="15.75" customHeight="1">
      <c r="A74" s="97">
        <v>25038</v>
      </c>
      <c r="B74" s="97">
        <v>3429</v>
      </c>
      <c r="C74" s="97">
        <v>6121</v>
      </c>
      <c r="D74" s="181">
        <v>72</v>
      </c>
      <c r="E74" s="66" t="s">
        <v>58</v>
      </c>
      <c r="F74" s="70">
        <v>0</v>
      </c>
      <c r="G74" s="99">
        <v>100000</v>
      </c>
      <c r="H74" s="71"/>
      <c r="I74" s="65">
        <f t="shared" si="15"/>
        <v>100000</v>
      </c>
      <c r="J74" s="99">
        <f t="shared" si="14"/>
        <v>100000</v>
      </c>
      <c r="K74" s="71">
        <v>14875</v>
      </c>
      <c r="L74" s="99">
        <f t="shared" si="13"/>
        <v>14.875</v>
      </c>
      <c r="M74" s="99"/>
      <c r="N74" s="99">
        <f t="shared" si="16"/>
        <v>100000</v>
      </c>
      <c r="O74" s="101" t="s">
        <v>932</v>
      </c>
      <c r="P74" s="114"/>
      <c r="Q74" s="115"/>
      <c r="R74" s="115"/>
      <c r="S74" s="115"/>
      <c r="T74" s="115"/>
      <c r="U74" s="115"/>
    </row>
    <row r="75" spans="1:21" s="116" customFormat="1" ht="15.75" customHeight="1">
      <c r="A75" s="97">
        <v>24785</v>
      </c>
      <c r="B75" s="97">
        <v>2219</v>
      </c>
      <c r="C75" s="97">
        <v>6121</v>
      </c>
      <c r="D75" s="69">
        <v>73</v>
      </c>
      <c r="E75" s="66" t="s">
        <v>59</v>
      </c>
      <c r="F75" s="70">
        <v>0</v>
      </c>
      <c r="G75" s="99">
        <v>200000</v>
      </c>
      <c r="H75" s="71"/>
      <c r="I75" s="65">
        <f t="shared" si="15"/>
        <v>200000</v>
      </c>
      <c r="J75" s="99">
        <f>N75-44000</f>
        <v>156000</v>
      </c>
      <c r="K75" s="71">
        <v>154700</v>
      </c>
      <c r="L75" s="99">
        <f t="shared" si="13"/>
        <v>99.16666666666667</v>
      </c>
      <c r="M75" s="99"/>
      <c r="N75" s="99">
        <f t="shared" si="16"/>
        <v>200000</v>
      </c>
      <c r="O75" s="101" t="s">
        <v>932</v>
      </c>
      <c r="P75" s="114"/>
      <c r="Q75" s="115"/>
      <c r="R75" s="115"/>
      <c r="S75" s="115"/>
      <c r="T75" s="115"/>
      <c r="U75" s="115"/>
    </row>
    <row r="76" spans="1:21" s="116" customFormat="1" ht="15.75" customHeight="1">
      <c r="A76" s="69">
        <v>24964</v>
      </c>
      <c r="B76" s="69">
        <v>2212</v>
      </c>
      <c r="C76" s="69">
        <v>6121</v>
      </c>
      <c r="D76" s="181">
        <v>74</v>
      </c>
      <c r="E76" s="66" t="s">
        <v>60</v>
      </c>
      <c r="F76" s="186">
        <v>0</v>
      </c>
      <c r="G76" s="99">
        <v>200000</v>
      </c>
      <c r="H76" s="187"/>
      <c r="I76" s="65">
        <f t="shared" si="15"/>
        <v>200000</v>
      </c>
      <c r="J76" s="99">
        <f>N76</f>
        <v>200000</v>
      </c>
      <c r="K76" s="187">
        <v>158508</v>
      </c>
      <c r="L76" s="99">
        <f>K76/J76*100</f>
        <v>79.254</v>
      </c>
      <c r="M76" s="99"/>
      <c r="N76" s="99">
        <f t="shared" si="16"/>
        <v>200000</v>
      </c>
      <c r="O76" s="101" t="s">
        <v>932</v>
      </c>
      <c r="P76" s="114"/>
      <c r="Q76" s="115"/>
      <c r="R76" s="115"/>
      <c r="S76" s="115"/>
      <c r="T76" s="115"/>
      <c r="U76" s="115"/>
    </row>
    <row r="77" spans="1:21" s="116" customFormat="1" ht="15.75" customHeight="1">
      <c r="A77" s="62">
        <v>24864</v>
      </c>
      <c r="B77" s="62">
        <v>2212</v>
      </c>
      <c r="C77" s="62">
        <v>6121</v>
      </c>
      <c r="D77" s="69">
        <v>75</v>
      </c>
      <c r="E77" s="66" t="s">
        <v>61</v>
      </c>
      <c r="F77" s="70">
        <v>1500</v>
      </c>
      <c r="G77" s="99">
        <v>600000</v>
      </c>
      <c r="H77" s="71"/>
      <c r="I77" s="65">
        <f t="shared" si="15"/>
        <v>600000</v>
      </c>
      <c r="J77" s="99">
        <f>N77-450000</f>
        <v>150000</v>
      </c>
      <c r="K77" s="71">
        <v>138635</v>
      </c>
      <c r="L77" s="99">
        <f>K77/J77*100</f>
        <v>92.42333333333333</v>
      </c>
      <c r="M77" s="99"/>
      <c r="N77" s="99">
        <f t="shared" si="16"/>
        <v>600000</v>
      </c>
      <c r="O77" s="101" t="s">
        <v>932</v>
      </c>
      <c r="P77" s="114"/>
      <c r="Q77" s="115"/>
      <c r="R77" s="115"/>
      <c r="S77" s="115"/>
      <c r="T77" s="115"/>
      <c r="U77" s="115"/>
    </row>
    <row r="78" spans="1:21" s="116" customFormat="1" ht="15.75" customHeight="1">
      <c r="A78" s="129">
        <v>24740</v>
      </c>
      <c r="B78" s="62">
        <v>2321</v>
      </c>
      <c r="C78" s="62">
        <v>6121</v>
      </c>
      <c r="D78" s="181">
        <v>76</v>
      </c>
      <c r="E78" s="101" t="s">
        <v>62</v>
      </c>
      <c r="F78" s="64">
        <v>800</v>
      </c>
      <c r="G78" s="99">
        <v>800000</v>
      </c>
      <c r="H78" s="65"/>
      <c r="I78" s="65">
        <f t="shared" si="15"/>
        <v>800000</v>
      </c>
      <c r="J78" s="99">
        <f>N78</f>
        <v>800000</v>
      </c>
      <c r="K78" s="65"/>
      <c r="L78" s="99"/>
      <c r="M78" s="99"/>
      <c r="N78" s="99">
        <f t="shared" si="16"/>
        <v>800000</v>
      </c>
      <c r="O78" s="101" t="s">
        <v>932</v>
      </c>
      <c r="P78" s="114"/>
      <c r="Q78" s="115"/>
      <c r="R78" s="115"/>
      <c r="S78" s="115"/>
      <c r="T78" s="115"/>
      <c r="U78" s="115"/>
    </row>
    <row r="79" spans="1:21" s="198" customFormat="1" ht="15.75" customHeight="1">
      <c r="A79" s="196" t="s">
        <v>63</v>
      </c>
      <c r="B79" s="62">
        <v>2321</v>
      </c>
      <c r="C79" s="62">
        <v>6121</v>
      </c>
      <c r="D79" s="69">
        <v>77</v>
      </c>
      <c r="E79" s="66" t="s">
        <v>64</v>
      </c>
      <c r="F79" s="64">
        <v>2200</v>
      </c>
      <c r="G79" s="99">
        <v>1667000</v>
      </c>
      <c r="H79" s="65"/>
      <c r="I79" s="65">
        <f t="shared" si="15"/>
        <v>1667000</v>
      </c>
      <c r="J79" s="99">
        <f>N79-800000</f>
        <v>867000</v>
      </c>
      <c r="K79" s="65">
        <v>802776</v>
      </c>
      <c r="L79" s="99">
        <f>K79/J79*100</f>
        <v>92.5923875432526</v>
      </c>
      <c r="M79" s="99"/>
      <c r="N79" s="99">
        <f t="shared" si="16"/>
        <v>1667000</v>
      </c>
      <c r="O79" s="101" t="s">
        <v>932</v>
      </c>
      <c r="P79" s="197"/>
      <c r="Q79" s="197"/>
      <c r="R79" s="197"/>
      <c r="S79" s="197"/>
      <c r="T79" s="197"/>
      <c r="U79" s="197"/>
    </row>
    <row r="80" spans="1:21" s="198" customFormat="1" ht="15.75" customHeight="1">
      <c r="A80" s="97">
        <v>24942</v>
      </c>
      <c r="B80" s="97">
        <v>2221</v>
      </c>
      <c r="C80" s="97">
        <v>6121</v>
      </c>
      <c r="D80" s="181">
        <v>78</v>
      </c>
      <c r="E80" s="66" t="s">
        <v>65</v>
      </c>
      <c r="F80" s="70">
        <v>100</v>
      </c>
      <c r="G80" s="99">
        <v>330000</v>
      </c>
      <c r="H80" s="71"/>
      <c r="I80" s="65">
        <f t="shared" si="15"/>
        <v>330000</v>
      </c>
      <c r="J80" s="99">
        <f>N80</f>
        <v>330000</v>
      </c>
      <c r="K80" s="71">
        <v>261232</v>
      </c>
      <c r="L80" s="99">
        <f>K80/J80*100</f>
        <v>79.16121212121212</v>
      </c>
      <c r="M80" s="99"/>
      <c r="N80" s="99">
        <f t="shared" si="16"/>
        <v>330000</v>
      </c>
      <c r="O80" s="101" t="s">
        <v>932</v>
      </c>
      <c r="P80" s="197"/>
      <c r="Q80" s="197"/>
      <c r="R80" s="197"/>
      <c r="S80" s="197"/>
      <c r="T80" s="197"/>
      <c r="U80" s="197"/>
    </row>
    <row r="81" spans="1:21" s="198" customFormat="1" ht="15.75" customHeight="1">
      <c r="A81" s="97">
        <v>24982</v>
      </c>
      <c r="B81" s="97">
        <v>6171</v>
      </c>
      <c r="C81" s="97">
        <v>6121</v>
      </c>
      <c r="D81" s="69">
        <v>79</v>
      </c>
      <c r="E81" s="66" t="s">
        <v>66</v>
      </c>
      <c r="F81" s="70">
        <v>0</v>
      </c>
      <c r="G81" s="99">
        <v>300000</v>
      </c>
      <c r="H81" s="71"/>
      <c r="I81" s="65">
        <f t="shared" si="15"/>
        <v>300000</v>
      </c>
      <c r="J81" s="99">
        <f>N81</f>
        <v>300000</v>
      </c>
      <c r="K81" s="71">
        <v>274295</v>
      </c>
      <c r="L81" s="99">
        <f>K81/J81*100</f>
        <v>91.43166666666667</v>
      </c>
      <c r="M81" s="99"/>
      <c r="N81" s="99">
        <f t="shared" si="16"/>
        <v>300000</v>
      </c>
      <c r="O81" s="101" t="s">
        <v>932</v>
      </c>
      <c r="P81" s="197"/>
      <c r="Q81" s="197"/>
      <c r="R81" s="197"/>
      <c r="S81" s="197"/>
      <c r="T81" s="197"/>
      <c r="U81" s="197"/>
    </row>
    <row r="82" spans="1:21" s="198" customFormat="1" ht="15.75" customHeight="1">
      <c r="A82" s="69">
        <v>24945</v>
      </c>
      <c r="B82" s="69">
        <v>2219</v>
      </c>
      <c r="C82" s="69">
        <v>6121</v>
      </c>
      <c r="D82" s="181">
        <v>80</v>
      </c>
      <c r="E82" s="101" t="s">
        <v>1121</v>
      </c>
      <c r="F82" s="186">
        <v>200</v>
      </c>
      <c r="G82" s="99">
        <v>0</v>
      </c>
      <c r="H82" s="187"/>
      <c r="I82" s="65">
        <f t="shared" si="15"/>
        <v>0</v>
      </c>
      <c r="J82" s="99">
        <f aca="true" t="shared" si="17" ref="J82:J98">N82</f>
        <v>0</v>
      </c>
      <c r="K82" s="187"/>
      <c r="L82" s="99"/>
      <c r="M82" s="99"/>
      <c r="N82" s="99">
        <f t="shared" si="16"/>
        <v>0</v>
      </c>
      <c r="O82" s="101" t="s">
        <v>932</v>
      </c>
      <c r="P82" s="197"/>
      <c r="Q82" s="197"/>
      <c r="R82" s="197"/>
      <c r="S82" s="197"/>
      <c r="T82" s="197"/>
      <c r="U82" s="197"/>
    </row>
    <row r="83" spans="1:21" s="198" customFormat="1" ht="15.75" customHeight="1">
      <c r="A83" s="69">
        <v>24895</v>
      </c>
      <c r="B83" s="69">
        <v>2219</v>
      </c>
      <c r="C83" s="69">
        <v>6121</v>
      </c>
      <c r="D83" s="69">
        <v>81</v>
      </c>
      <c r="E83" s="101" t="s">
        <v>1122</v>
      </c>
      <c r="F83" s="186">
        <v>0</v>
      </c>
      <c r="G83" s="99">
        <v>200000</v>
      </c>
      <c r="H83" s="187"/>
      <c r="I83" s="65">
        <f t="shared" si="15"/>
        <v>200000</v>
      </c>
      <c r="J83" s="99">
        <f t="shared" si="17"/>
        <v>200000</v>
      </c>
      <c r="K83" s="187">
        <v>189210</v>
      </c>
      <c r="L83" s="99">
        <f>K83/J83*100</f>
        <v>94.60499999999999</v>
      </c>
      <c r="M83" s="99"/>
      <c r="N83" s="99">
        <f t="shared" si="16"/>
        <v>200000</v>
      </c>
      <c r="O83" s="101" t="s">
        <v>932</v>
      </c>
      <c r="P83" s="197"/>
      <c r="Q83" s="197"/>
      <c r="R83" s="197"/>
      <c r="S83" s="197"/>
      <c r="T83" s="197"/>
      <c r="U83" s="197"/>
    </row>
    <row r="84" spans="1:21" s="116" customFormat="1" ht="15.75" customHeight="1">
      <c r="A84" s="69">
        <v>24757</v>
      </c>
      <c r="B84" s="69">
        <v>2219</v>
      </c>
      <c r="C84" s="69">
        <v>6121</v>
      </c>
      <c r="D84" s="181">
        <v>82</v>
      </c>
      <c r="E84" s="66" t="s">
        <v>1123</v>
      </c>
      <c r="F84" s="98">
        <v>60</v>
      </c>
      <c r="G84" s="99">
        <v>60000</v>
      </c>
      <c r="H84" s="100"/>
      <c r="I84" s="65">
        <f t="shared" si="15"/>
        <v>60000</v>
      </c>
      <c r="J84" s="99">
        <f t="shared" si="17"/>
        <v>60000</v>
      </c>
      <c r="K84" s="100"/>
      <c r="L84" s="99"/>
      <c r="M84" s="99"/>
      <c r="N84" s="99">
        <f t="shared" si="16"/>
        <v>60000</v>
      </c>
      <c r="O84" s="101" t="s">
        <v>932</v>
      </c>
      <c r="P84" s="114"/>
      <c r="Q84" s="115"/>
      <c r="R84" s="115"/>
      <c r="S84" s="115"/>
      <c r="T84" s="115"/>
      <c r="U84" s="115"/>
    </row>
    <row r="85" spans="1:21" s="116" customFormat="1" ht="15.75" customHeight="1">
      <c r="A85" s="62">
        <v>24457</v>
      </c>
      <c r="B85" s="62">
        <v>2212</v>
      </c>
      <c r="C85" s="62">
        <v>6121</v>
      </c>
      <c r="D85" s="69">
        <v>83</v>
      </c>
      <c r="E85" s="66" t="s">
        <v>1124</v>
      </c>
      <c r="F85" s="64">
        <v>100</v>
      </c>
      <c r="G85" s="99">
        <v>100000</v>
      </c>
      <c r="H85" s="65"/>
      <c r="I85" s="65">
        <f t="shared" si="15"/>
        <v>100000</v>
      </c>
      <c r="J85" s="99">
        <f t="shared" si="17"/>
        <v>100000</v>
      </c>
      <c r="K85" s="65"/>
      <c r="L85" s="99"/>
      <c r="M85" s="99"/>
      <c r="N85" s="99">
        <f t="shared" si="16"/>
        <v>100000</v>
      </c>
      <c r="O85" s="101" t="s">
        <v>932</v>
      </c>
      <c r="P85" s="114"/>
      <c r="Q85" s="115"/>
      <c r="R85" s="115"/>
      <c r="S85" s="115"/>
      <c r="T85" s="115"/>
      <c r="U85" s="115"/>
    </row>
    <row r="86" spans="1:21" s="116" customFormat="1" ht="15.75" customHeight="1">
      <c r="A86" s="62">
        <v>25037</v>
      </c>
      <c r="B86" s="62">
        <v>2212</v>
      </c>
      <c r="C86" s="62">
        <v>6121</v>
      </c>
      <c r="D86" s="181">
        <v>84</v>
      </c>
      <c r="E86" s="66" t="s">
        <v>1125</v>
      </c>
      <c r="F86" s="64">
        <v>0</v>
      </c>
      <c r="G86" s="99">
        <v>100000</v>
      </c>
      <c r="H86" s="65"/>
      <c r="I86" s="65">
        <f t="shared" si="15"/>
        <v>100000</v>
      </c>
      <c r="J86" s="99">
        <f t="shared" si="17"/>
        <v>100000</v>
      </c>
      <c r="K86" s="65"/>
      <c r="L86" s="99"/>
      <c r="M86" s="99"/>
      <c r="N86" s="99">
        <f t="shared" si="16"/>
        <v>100000</v>
      </c>
      <c r="O86" s="101" t="s">
        <v>932</v>
      </c>
      <c r="P86" s="114"/>
      <c r="Q86" s="115"/>
      <c r="R86" s="115"/>
      <c r="S86" s="115"/>
      <c r="T86" s="115"/>
      <c r="U86" s="115"/>
    </row>
    <row r="87" spans="1:21" s="116" customFormat="1" ht="15.75" customHeight="1">
      <c r="A87" s="69">
        <v>24903</v>
      </c>
      <c r="B87" s="69">
        <v>6171</v>
      </c>
      <c r="C87" s="130">
        <v>6121</v>
      </c>
      <c r="D87" s="69">
        <v>85</v>
      </c>
      <c r="E87" s="66" t="s">
        <v>1126</v>
      </c>
      <c r="F87" s="64">
        <v>500</v>
      </c>
      <c r="G87" s="99">
        <v>400000</v>
      </c>
      <c r="H87" s="65"/>
      <c r="I87" s="65">
        <f t="shared" si="15"/>
        <v>400000</v>
      </c>
      <c r="J87" s="99">
        <f t="shared" si="17"/>
        <v>400000</v>
      </c>
      <c r="K87" s="65">
        <v>159460</v>
      </c>
      <c r="L87" s="99">
        <f>K87/J87*100</f>
        <v>39.865</v>
      </c>
      <c r="M87" s="99"/>
      <c r="N87" s="99">
        <f t="shared" si="16"/>
        <v>400000</v>
      </c>
      <c r="O87" s="101" t="s">
        <v>932</v>
      </c>
      <c r="P87" s="114"/>
      <c r="Q87" s="115"/>
      <c r="R87" s="115"/>
      <c r="S87" s="115"/>
      <c r="T87" s="115"/>
      <c r="U87" s="115"/>
    </row>
    <row r="88" spans="1:21" s="201" customFormat="1" ht="15.75" customHeight="1">
      <c r="A88" s="189" t="s">
        <v>1127</v>
      </c>
      <c r="B88" s="69">
        <v>3113</v>
      </c>
      <c r="C88" s="69">
        <v>6121</v>
      </c>
      <c r="D88" s="181">
        <v>86</v>
      </c>
      <c r="E88" s="199" t="s">
        <v>1128</v>
      </c>
      <c r="F88" s="64">
        <v>420</v>
      </c>
      <c r="G88" s="99">
        <v>420000</v>
      </c>
      <c r="H88" s="65"/>
      <c r="I88" s="65">
        <f t="shared" si="15"/>
        <v>420000</v>
      </c>
      <c r="J88" s="99">
        <f t="shared" si="17"/>
        <v>420000</v>
      </c>
      <c r="K88" s="65">
        <v>290822.7</v>
      </c>
      <c r="L88" s="99">
        <f>K88/J88*100</f>
        <v>69.2435</v>
      </c>
      <c r="M88" s="99"/>
      <c r="N88" s="99">
        <f t="shared" si="16"/>
        <v>420000</v>
      </c>
      <c r="O88" s="101" t="s">
        <v>932</v>
      </c>
      <c r="P88" s="110"/>
      <c r="Q88" s="200"/>
      <c r="R88" s="200"/>
      <c r="S88" s="200"/>
      <c r="T88" s="200"/>
      <c r="U88" s="200"/>
    </row>
    <row r="89" spans="1:21" s="201" customFormat="1" ht="15.75" customHeight="1">
      <c r="A89" s="97">
        <v>24946</v>
      </c>
      <c r="B89" s="97">
        <v>2212</v>
      </c>
      <c r="C89" s="97">
        <v>6121</v>
      </c>
      <c r="D89" s="69">
        <v>87</v>
      </c>
      <c r="E89" s="63" t="s">
        <v>1129</v>
      </c>
      <c r="F89" s="70">
        <v>100</v>
      </c>
      <c r="G89" s="99">
        <v>100000</v>
      </c>
      <c r="H89" s="71"/>
      <c r="I89" s="65">
        <f t="shared" si="15"/>
        <v>100000</v>
      </c>
      <c r="J89" s="99">
        <f t="shared" si="17"/>
        <v>100000</v>
      </c>
      <c r="K89" s="71"/>
      <c r="L89" s="99"/>
      <c r="M89" s="99"/>
      <c r="N89" s="99">
        <f t="shared" si="16"/>
        <v>100000</v>
      </c>
      <c r="O89" s="101" t="s">
        <v>932</v>
      </c>
      <c r="P89" s="110"/>
      <c r="Q89" s="200"/>
      <c r="R89" s="200"/>
      <c r="S89" s="200"/>
      <c r="T89" s="200"/>
      <c r="U89" s="200"/>
    </row>
    <row r="90" spans="1:21" s="201" customFormat="1" ht="15.75" customHeight="1">
      <c r="A90" s="97">
        <v>24947</v>
      </c>
      <c r="B90" s="97">
        <v>2219</v>
      </c>
      <c r="C90" s="97">
        <v>6121</v>
      </c>
      <c r="D90" s="181">
        <v>88</v>
      </c>
      <c r="E90" s="63" t="s">
        <v>1130</v>
      </c>
      <c r="F90" s="70">
        <v>50</v>
      </c>
      <c r="G90" s="99">
        <v>70000</v>
      </c>
      <c r="H90" s="71"/>
      <c r="I90" s="65">
        <f t="shared" si="15"/>
        <v>70000</v>
      </c>
      <c r="J90" s="99">
        <f t="shared" si="17"/>
        <v>70000</v>
      </c>
      <c r="K90" s="71">
        <v>55454</v>
      </c>
      <c r="L90" s="99">
        <f>K90/J90*100</f>
        <v>79.22</v>
      </c>
      <c r="M90" s="99"/>
      <c r="N90" s="99">
        <f t="shared" si="16"/>
        <v>70000</v>
      </c>
      <c r="O90" s="101" t="s">
        <v>932</v>
      </c>
      <c r="P90" s="110"/>
      <c r="Q90" s="200"/>
      <c r="R90" s="200"/>
      <c r="S90" s="200"/>
      <c r="T90" s="200"/>
      <c r="U90" s="200"/>
    </row>
    <row r="91" spans="1:21" s="201" customFormat="1" ht="15.75" customHeight="1">
      <c r="A91" s="97">
        <v>24471</v>
      </c>
      <c r="B91" s="97">
        <v>2212</v>
      </c>
      <c r="C91" s="97">
        <v>6121</v>
      </c>
      <c r="D91" s="69">
        <v>89</v>
      </c>
      <c r="E91" s="63" t="s">
        <v>1082</v>
      </c>
      <c r="F91" s="70">
        <v>0</v>
      </c>
      <c r="G91" s="99">
        <v>10000</v>
      </c>
      <c r="H91" s="71"/>
      <c r="I91" s="65">
        <f t="shared" si="15"/>
        <v>10000</v>
      </c>
      <c r="J91" s="99">
        <f t="shared" si="17"/>
        <v>10000</v>
      </c>
      <c r="K91" s="71"/>
      <c r="L91" s="99"/>
      <c r="M91" s="99"/>
      <c r="N91" s="99">
        <f t="shared" si="16"/>
        <v>10000</v>
      </c>
      <c r="O91" s="101" t="s">
        <v>932</v>
      </c>
      <c r="P91" s="110"/>
      <c r="Q91" s="200"/>
      <c r="R91" s="200"/>
      <c r="S91" s="200"/>
      <c r="T91" s="200"/>
      <c r="U91" s="200"/>
    </row>
    <row r="92" spans="1:21" s="201" customFormat="1" ht="15.75" customHeight="1">
      <c r="A92" s="97">
        <v>24965</v>
      </c>
      <c r="B92" s="97">
        <v>2219</v>
      </c>
      <c r="C92" s="97">
        <v>6121</v>
      </c>
      <c r="D92" s="181">
        <v>90</v>
      </c>
      <c r="E92" s="63" t="s">
        <v>1131</v>
      </c>
      <c r="F92" s="70">
        <v>0</v>
      </c>
      <c r="G92" s="99">
        <v>100000</v>
      </c>
      <c r="H92" s="71"/>
      <c r="I92" s="65">
        <f t="shared" si="15"/>
        <v>100000</v>
      </c>
      <c r="J92" s="99">
        <f t="shared" si="17"/>
        <v>100000</v>
      </c>
      <c r="K92" s="71">
        <v>55454</v>
      </c>
      <c r="L92" s="99">
        <f>K92/J92*100</f>
        <v>55.454</v>
      </c>
      <c r="M92" s="99"/>
      <c r="N92" s="99">
        <f t="shared" si="16"/>
        <v>100000</v>
      </c>
      <c r="O92" s="101" t="s">
        <v>932</v>
      </c>
      <c r="P92" s="110"/>
      <c r="Q92" s="200"/>
      <c r="R92" s="200"/>
      <c r="S92" s="200"/>
      <c r="T92" s="200"/>
      <c r="U92" s="200"/>
    </row>
    <row r="93" spans="1:21" s="201" customFormat="1" ht="15.75" customHeight="1">
      <c r="A93" s="129">
        <v>24868</v>
      </c>
      <c r="B93" s="69">
        <v>2219</v>
      </c>
      <c r="C93" s="69">
        <v>6121</v>
      </c>
      <c r="D93" s="69">
        <v>91</v>
      </c>
      <c r="E93" s="101" t="s">
        <v>1132</v>
      </c>
      <c r="F93" s="98">
        <v>26</v>
      </c>
      <c r="G93" s="99">
        <v>26000</v>
      </c>
      <c r="H93" s="100"/>
      <c r="I93" s="65">
        <f t="shared" si="15"/>
        <v>26000</v>
      </c>
      <c r="J93" s="99">
        <f t="shared" si="17"/>
        <v>26000</v>
      </c>
      <c r="K93" s="100"/>
      <c r="L93" s="99"/>
      <c r="M93" s="99"/>
      <c r="N93" s="99">
        <f t="shared" si="16"/>
        <v>26000</v>
      </c>
      <c r="O93" s="202" t="s">
        <v>932</v>
      </c>
      <c r="P93" s="110"/>
      <c r="Q93" s="200"/>
      <c r="R93" s="200"/>
      <c r="S93" s="200"/>
      <c r="T93" s="200"/>
      <c r="U93" s="200"/>
    </row>
    <row r="94" spans="1:21" s="201" customFormat="1" ht="15.75" customHeight="1">
      <c r="A94" s="129">
        <v>25066</v>
      </c>
      <c r="B94" s="69">
        <v>6171</v>
      </c>
      <c r="C94" s="69">
        <v>6121</v>
      </c>
      <c r="D94" s="181">
        <v>92</v>
      </c>
      <c r="E94" s="101" t="s">
        <v>1133</v>
      </c>
      <c r="F94" s="98">
        <v>0</v>
      </c>
      <c r="G94" s="99">
        <v>120000</v>
      </c>
      <c r="H94" s="100"/>
      <c r="I94" s="65">
        <f t="shared" si="15"/>
        <v>120000</v>
      </c>
      <c r="J94" s="99">
        <f t="shared" si="17"/>
        <v>120000</v>
      </c>
      <c r="K94" s="100"/>
      <c r="L94" s="99"/>
      <c r="M94" s="99"/>
      <c r="N94" s="99">
        <f t="shared" si="16"/>
        <v>120000</v>
      </c>
      <c r="O94" s="202" t="s">
        <v>932</v>
      </c>
      <c r="P94" s="110"/>
      <c r="Q94" s="200"/>
      <c r="R94" s="200"/>
      <c r="S94" s="200"/>
      <c r="T94" s="200"/>
      <c r="U94" s="200"/>
    </row>
    <row r="95" spans="1:21" s="201" customFormat="1" ht="15.75" customHeight="1">
      <c r="A95" s="129">
        <v>24365</v>
      </c>
      <c r="B95" s="69">
        <v>2219</v>
      </c>
      <c r="C95" s="69">
        <v>6121</v>
      </c>
      <c r="D95" s="69">
        <v>93</v>
      </c>
      <c r="E95" s="101" t="s">
        <v>1134</v>
      </c>
      <c r="F95" s="98">
        <v>0</v>
      </c>
      <c r="G95" s="99">
        <v>3000</v>
      </c>
      <c r="H95" s="100"/>
      <c r="I95" s="65">
        <f t="shared" si="15"/>
        <v>3000</v>
      </c>
      <c r="J95" s="99">
        <f t="shared" si="17"/>
        <v>3000</v>
      </c>
      <c r="K95" s="100">
        <v>1600</v>
      </c>
      <c r="L95" s="99">
        <f>K95/J95*100</f>
        <v>53.333333333333336</v>
      </c>
      <c r="M95" s="99"/>
      <c r="N95" s="99">
        <f t="shared" si="16"/>
        <v>3000</v>
      </c>
      <c r="O95" s="202" t="s">
        <v>932</v>
      </c>
      <c r="P95" s="110"/>
      <c r="Q95" s="200"/>
      <c r="R95" s="200"/>
      <c r="S95" s="200"/>
      <c r="T95" s="200"/>
      <c r="U95" s="200"/>
    </row>
    <row r="96" spans="1:21" s="201" customFormat="1" ht="15.75" customHeight="1">
      <c r="A96" s="69">
        <v>24858</v>
      </c>
      <c r="B96" s="69">
        <v>2219</v>
      </c>
      <c r="C96" s="69">
        <v>6121</v>
      </c>
      <c r="D96" s="181">
        <v>94</v>
      </c>
      <c r="E96" s="66" t="s">
        <v>1135</v>
      </c>
      <c r="F96" s="186">
        <v>80</v>
      </c>
      <c r="G96" s="99">
        <v>80000</v>
      </c>
      <c r="H96" s="187"/>
      <c r="I96" s="65">
        <f t="shared" si="15"/>
        <v>80000</v>
      </c>
      <c r="J96" s="99">
        <f t="shared" si="17"/>
        <v>80000</v>
      </c>
      <c r="K96" s="187"/>
      <c r="L96" s="99"/>
      <c r="M96" s="99"/>
      <c r="N96" s="99">
        <f t="shared" si="16"/>
        <v>80000</v>
      </c>
      <c r="O96" s="101" t="s">
        <v>932</v>
      </c>
      <c r="P96" s="110"/>
      <c r="Q96" s="200"/>
      <c r="R96" s="200"/>
      <c r="S96" s="200"/>
      <c r="T96" s="200"/>
      <c r="U96" s="200"/>
    </row>
    <row r="97" spans="1:21" s="201" customFormat="1" ht="15.75" customHeight="1">
      <c r="A97" s="129">
        <v>24367</v>
      </c>
      <c r="B97" s="69">
        <v>2219</v>
      </c>
      <c r="C97" s="69">
        <v>6121</v>
      </c>
      <c r="D97" s="69">
        <v>95</v>
      </c>
      <c r="E97" s="101" t="s">
        <v>1136</v>
      </c>
      <c r="F97" s="184">
        <v>360</v>
      </c>
      <c r="G97" s="99">
        <v>360000</v>
      </c>
      <c r="H97" s="185"/>
      <c r="I97" s="65">
        <f t="shared" si="15"/>
        <v>360000</v>
      </c>
      <c r="J97" s="99">
        <f t="shared" si="17"/>
        <v>360000</v>
      </c>
      <c r="K97" s="185"/>
      <c r="L97" s="99"/>
      <c r="M97" s="99"/>
      <c r="N97" s="99">
        <f t="shared" si="16"/>
        <v>360000</v>
      </c>
      <c r="O97" s="101" t="s">
        <v>932</v>
      </c>
      <c r="P97" s="110"/>
      <c r="Q97" s="200"/>
      <c r="R97" s="200"/>
      <c r="S97" s="200"/>
      <c r="T97" s="200"/>
      <c r="U97" s="200"/>
    </row>
    <row r="98" spans="1:21" s="201" customFormat="1" ht="15.75" customHeight="1">
      <c r="A98" s="69">
        <v>24799</v>
      </c>
      <c r="B98" s="69">
        <v>2212</v>
      </c>
      <c r="C98" s="69">
        <v>6121</v>
      </c>
      <c r="D98" s="181">
        <v>96</v>
      </c>
      <c r="E98" s="66" t="s">
        <v>1137</v>
      </c>
      <c r="F98" s="186">
        <v>132</v>
      </c>
      <c r="G98" s="99">
        <v>132000</v>
      </c>
      <c r="H98" s="187"/>
      <c r="I98" s="65">
        <v>132000</v>
      </c>
      <c r="J98" s="99">
        <f t="shared" si="17"/>
        <v>132000</v>
      </c>
      <c r="K98" s="187">
        <v>131733</v>
      </c>
      <c r="L98" s="99">
        <f aca="true" t="shared" si="18" ref="L98:L103">K98/J98*100</f>
        <v>99.79772727272727</v>
      </c>
      <c r="M98" s="99"/>
      <c r="N98" s="99">
        <f t="shared" si="16"/>
        <v>132000</v>
      </c>
      <c r="O98" s="101" t="s">
        <v>932</v>
      </c>
      <c r="P98" s="110"/>
      <c r="Q98" s="200"/>
      <c r="R98" s="200"/>
      <c r="S98" s="200"/>
      <c r="T98" s="200"/>
      <c r="U98" s="200"/>
    </row>
    <row r="99" spans="1:21" s="201" customFormat="1" ht="15.75" customHeight="1">
      <c r="A99" s="69">
        <v>24781</v>
      </c>
      <c r="B99" s="69">
        <v>2219</v>
      </c>
      <c r="C99" s="73">
        <v>6121</v>
      </c>
      <c r="D99" s="69">
        <v>97</v>
      </c>
      <c r="E99" s="66" t="s">
        <v>1138</v>
      </c>
      <c r="F99" s="64">
        <v>1040</v>
      </c>
      <c r="G99" s="99">
        <v>620000</v>
      </c>
      <c r="H99" s="65"/>
      <c r="I99" s="65">
        <f aca="true" t="shared" si="19" ref="I99:I117">G99+H99</f>
        <v>620000</v>
      </c>
      <c r="J99" s="99">
        <f>N99-380000</f>
        <v>240000</v>
      </c>
      <c r="K99" s="65">
        <v>185129.5</v>
      </c>
      <c r="L99" s="99">
        <f t="shared" si="18"/>
        <v>77.13729166666667</v>
      </c>
      <c r="M99" s="99"/>
      <c r="N99" s="99">
        <f t="shared" si="16"/>
        <v>620000</v>
      </c>
      <c r="O99" s="101" t="s">
        <v>932</v>
      </c>
      <c r="P99" s="110"/>
      <c r="Q99" s="200"/>
      <c r="R99" s="200"/>
      <c r="S99" s="200"/>
      <c r="T99" s="200"/>
      <c r="U99" s="200"/>
    </row>
    <row r="100" spans="1:21" s="116" customFormat="1" ht="15.75" customHeight="1">
      <c r="A100" s="69">
        <v>24780</v>
      </c>
      <c r="B100" s="69">
        <v>2219</v>
      </c>
      <c r="C100" s="73">
        <v>6121</v>
      </c>
      <c r="D100" s="181">
        <v>98</v>
      </c>
      <c r="E100" s="66" t="s">
        <v>611</v>
      </c>
      <c r="F100" s="64">
        <v>2680</v>
      </c>
      <c r="G100" s="99">
        <v>810000</v>
      </c>
      <c r="H100" s="65"/>
      <c r="I100" s="65">
        <f t="shared" si="19"/>
        <v>810000</v>
      </c>
      <c r="J100" s="99">
        <f>N100-340000</f>
        <v>470000</v>
      </c>
      <c r="K100" s="65">
        <v>345920.2</v>
      </c>
      <c r="L100" s="99">
        <f t="shared" si="18"/>
        <v>73.60004255319149</v>
      </c>
      <c r="M100" s="99"/>
      <c r="N100" s="99">
        <f t="shared" si="16"/>
        <v>810000</v>
      </c>
      <c r="O100" s="101" t="s">
        <v>932</v>
      </c>
      <c r="P100" s="114"/>
      <c r="Q100" s="115"/>
      <c r="R100" s="115"/>
      <c r="S100" s="115"/>
      <c r="T100" s="115"/>
      <c r="U100" s="115"/>
    </row>
    <row r="101" spans="1:21" s="116" customFormat="1" ht="15.75" customHeight="1">
      <c r="A101" s="69">
        <v>24462</v>
      </c>
      <c r="B101" s="69">
        <v>2212</v>
      </c>
      <c r="C101" s="73">
        <v>6121</v>
      </c>
      <c r="D101" s="69">
        <v>99</v>
      </c>
      <c r="E101" s="66" t="s">
        <v>1139</v>
      </c>
      <c r="F101" s="64">
        <v>0</v>
      </c>
      <c r="G101" s="99">
        <v>30000</v>
      </c>
      <c r="H101" s="65"/>
      <c r="I101" s="65">
        <f t="shared" si="19"/>
        <v>30000</v>
      </c>
      <c r="J101" s="99">
        <f>N101</f>
        <v>30000</v>
      </c>
      <c r="K101" s="65">
        <v>9931</v>
      </c>
      <c r="L101" s="99">
        <f t="shared" si="18"/>
        <v>33.10333333333333</v>
      </c>
      <c r="M101" s="99"/>
      <c r="N101" s="99">
        <f t="shared" si="16"/>
        <v>30000</v>
      </c>
      <c r="O101" s="101" t="s">
        <v>932</v>
      </c>
      <c r="P101" s="114"/>
      <c r="Q101" s="115"/>
      <c r="R101" s="115"/>
      <c r="S101" s="115"/>
      <c r="T101" s="115"/>
      <c r="U101" s="115"/>
    </row>
    <row r="102" spans="1:21" s="116" customFormat="1" ht="15.75" customHeight="1">
      <c r="A102" s="69">
        <v>24460</v>
      </c>
      <c r="B102" s="69">
        <v>2212</v>
      </c>
      <c r="C102" s="73">
        <v>6121</v>
      </c>
      <c r="D102" s="181">
        <v>100</v>
      </c>
      <c r="E102" s="66" t="s">
        <v>1150</v>
      </c>
      <c r="F102" s="64">
        <v>0</v>
      </c>
      <c r="G102" s="99">
        <v>70000</v>
      </c>
      <c r="H102" s="65"/>
      <c r="I102" s="65">
        <f t="shared" si="19"/>
        <v>70000</v>
      </c>
      <c r="J102" s="99">
        <f>N102</f>
        <v>70000</v>
      </c>
      <c r="K102" s="65">
        <v>46767</v>
      </c>
      <c r="L102" s="99">
        <f t="shared" si="18"/>
        <v>66.81</v>
      </c>
      <c r="M102" s="99"/>
      <c r="N102" s="99">
        <f aca="true" t="shared" si="20" ref="N102:N128">I102-M102</f>
        <v>70000</v>
      </c>
      <c r="O102" s="101" t="s">
        <v>932</v>
      </c>
      <c r="P102" s="114"/>
      <c r="Q102" s="115"/>
      <c r="R102" s="115"/>
      <c r="S102" s="115"/>
      <c r="T102" s="115"/>
      <c r="U102" s="115"/>
    </row>
    <row r="103" spans="1:21" s="116" customFormat="1" ht="15.75" customHeight="1">
      <c r="A103" s="69">
        <v>24979</v>
      </c>
      <c r="B103" s="69">
        <v>2219</v>
      </c>
      <c r="C103" s="73">
        <v>6121</v>
      </c>
      <c r="D103" s="69">
        <v>101</v>
      </c>
      <c r="E103" s="66" t="s">
        <v>1151</v>
      </c>
      <c r="F103" s="64">
        <v>0</v>
      </c>
      <c r="G103" s="99">
        <v>120000</v>
      </c>
      <c r="H103" s="65"/>
      <c r="I103" s="65">
        <f t="shared" si="19"/>
        <v>120000</v>
      </c>
      <c r="J103" s="99">
        <f>N103</f>
        <v>120000</v>
      </c>
      <c r="K103" s="65">
        <v>93534</v>
      </c>
      <c r="L103" s="99">
        <f t="shared" si="18"/>
        <v>77.945</v>
      </c>
      <c r="M103" s="99"/>
      <c r="N103" s="99">
        <f t="shared" si="20"/>
        <v>120000</v>
      </c>
      <c r="O103" s="101" t="s">
        <v>932</v>
      </c>
      <c r="P103" s="114"/>
      <c r="Q103" s="115"/>
      <c r="R103" s="115"/>
      <c r="S103" s="115"/>
      <c r="T103" s="115"/>
      <c r="U103" s="115"/>
    </row>
    <row r="104" spans="1:21" s="116" customFormat="1" ht="15.75" customHeight="1">
      <c r="A104" s="97">
        <v>24948</v>
      </c>
      <c r="B104" s="97">
        <v>2219</v>
      </c>
      <c r="C104" s="97">
        <v>6121</v>
      </c>
      <c r="D104" s="181">
        <v>102</v>
      </c>
      <c r="E104" s="66" t="s">
        <v>614</v>
      </c>
      <c r="F104" s="70">
        <v>140</v>
      </c>
      <c r="G104" s="99">
        <v>225000</v>
      </c>
      <c r="H104" s="71"/>
      <c r="I104" s="65">
        <f t="shared" si="19"/>
        <v>225000</v>
      </c>
      <c r="J104" s="99">
        <f>N104</f>
        <v>225000</v>
      </c>
      <c r="K104" s="71"/>
      <c r="L104" s="99"/>
      <c r="M104" s="99"/>
      <c r="N104" s="99">
        <f t="shared" si="20"/>
        <v>225000</v>
      </c>
      <c r="O104" s="101" t="s">
        <v>932</v>
      </c>
      <c r="P104" s="114"/>
      <c r="Q104" s="115"/>
      <c r="R104" s="115"/>
      <c r="S104" s="115"/>
      <c r="T104" s="115"/>
      <c r="U104" s="115"/>
    </row>
    <row r="105" spans="1:21" s="116" customFormat="1" ht="15.75" customHeight="1">
      <c r="A105" s="97">
        <v>24980</v>
      </c>
      <c r="B105" s="97">
        <v>2219</v>
      </c>
      <c r="C105" s="97">
        <v>6121</v>
      </c>
      <c r="D105" s="69">
        <v>103</v>
      </c>
      <c r="E105" s="66" t="s">
        <v>1152</v>
      </c>
      <c r="F105" s="70">
        <v>0</v>
      </c>
      <c r="G105" s="99">
        <v>190000</v>
      </c>
      <c r="H105" s="71"/>
      <c r="I105" s="65">
        <f t="shared" si="19"/>
        <v>190000</v>
      </c>
      <c r="J105" s="99">
        <f>N105</f>
        <v>190000</v>
      </c>
      <c r="K105" s="71">
        <v>146370</v>
      </c>
      <c r="L105" s="99">
        <f>K105/J105*100</f>
        <v>77.03684210526316</v>
      </c>
      <c r="M105" s="99"/>
      <c r="N105" s="99">
        <f t="shared" si="20"/>
        <v>190000</v>
      </c>
      <c r="O105" s="101" t="s">
        <v>932</v>
      </c>
      <c r="P105" s="114"/>
      <c r="Q105" s="115"/>
      <c r="R105" s="115"/>
      <c r="S105" s="115"/>
      <c r="T105" s="115"/>
      <c r="U105" s="115"/>
    </row>
    <row r="106" spans="1:21" s="113" customFormat="1" ht="15.75" customHeight="1">
      <c r="A106" s="203">
        <v>20865</v>
      </c>
      <c r="B106" s="97">
        <v>3631</v>
      </c>
      <c r="C106" s="97">
        <v>6121</v>
      </c>
      <c r="D106" s="181">
        <v>104</v>
      </c>
      <c r="E106" s="66" t="s">
        <v>1153</v>
      </c>
      <c r="F106" s="64">
        <v>300</v>
      </c>
      <c r="G106" s="99">
        <v>755000</v>
      </c>
      <c r="H106" s="65"/>
      <c r="I106" s="65">
        <f t="shared" si="19"/>
        <v>755000</v>
      </c>
      <c r="J106" s="99">
        <f>N106-270000-430000</f>
        <v>55000</v>
      </c>
      <c r="K106" s="65">
        <v>50387</v>
      </c>
      <c r="L106" s="99">
        <f>K106/J106*100</f>
        <v>91.61272727272727</v>
      </c>
      <c r="M106" s="99"/>
      <c r="N106" s="99">
        <f t="shared" si="20"/>
        <v>755000</v>
      </c>
      <c r="O106" s="101" t="s">
        <v>932</v>
      </c>
      <c r="P106" s="111"/>
      <c r="Q106" s="111"/>
      <c r="R106" s="111"/>
      <c r="S106" s="111"/>
      <c r="T106" s="111"/>
      <c r="U106" s="111"/>
    </row>
    <row r="107" spans="1:21" s="113" customFormat="1" ht="15.75" customHeight="1">
      <c r="A107" s="203">
        <v>25024</v>
      </c>
      <c r="B107" s="97">
        <v>6409</v>
      </c>
      <c r="C107" s="97">
        <v>6121</v>
      </c>
      <c r="D107" s="69">
        <v>105</v>
      </c>
      <c r="E107" s="66" t="s">
        <v>1154</v>
      </c>
      <c r="F107" s="64">
        <v>0</v>
      </c>
      <c r="G107" s="99">
        <v>282000</v>
      </c>
      <c r="H107" s="65"/>
      <c r="I107" s="65">
        <f t="shared" si="19"/>
        <v>282000</v>
      </c>
      <c r="J107" s="99">
        <f aca="true" t="shared" si="21" ref="J107:J112">N107</f>
        <v>282000</v>
      </c>
      <c r="K107" s="65">
        <v>152900</v>
      </c>
      <c r="L107" s="99">
        <f>K107/J107*100</f>
        <v>54.219858156028366</v>
      </c>
      <c r="M107" s="99"/>
      <c r="N107" s="99">
        <f t="shared" si="20"/>
        <v>282000</v>
      </c>
      <c r="O107" s="101" t="s">
        <v>932</v>
      </c>
      <c r="P107" s="111"/>
      <c r="Q107" s="111"/>
      <c r="R107" s="111"/>
      <c r="S107" s="111"/>
      <c r="T107" s="111"/>
      <c r="U107" s="111"/>
    </row>
    <row r="108" spans="1:21" s="95" customFormat="1" ht="15.75" customHeight="1">
      <c r="A108" s="117">
        <v>24912</v>
      </c>
      <c r="B108" s="118">
        <v>6171</v>
      </c>
      <c r="C108" s="118">
        <v>6121</v>
      </c>
      <c r="D108" s="181">
        <v>106</v>
      </c>
      <c r="E108" s="119" t="s">
        <v>1155</v>
      </c>
      <c r="F108" s="120">
        <v>0</v>
      </c>
      <c r="G108" s="121">
        <v>100000</v>
      </c>
      <c r="H108" s="121"/>
      <c r="I108" s="65">
        <f t="shared" si="19"/>
        <v>100000</v>
      </c>
      <c r="J108" s="99">
        <f t="shared" si="21"/>
        <v>100000</v>
      </c>
      <c r="K108" s="65"/>
      <c r="L108" s="99"/>
      <c r="M108" s="99"/>
      <c r="N108" s="99">
        <f t="shared" si="20"/>
        <v>100000</v>
      </c>
      <c r="O108" s="122" t="s">
        <v>932</v>
      </c>
      <c r="P108" s="81"/>
      <c r="Q108" s="81"/>
      <c r="R108" s="81"/>
      <c r="S108" s="81"/>
      <c r="T108" s="81"/>
      <c r="U108" s="81"/>
    </row>
    <row r="109" spans="1:21" s="116" customFormat="1" ht="15.75" customHeight="1">
      <c r="A109" s="204">
        <v>24519</v>
      </c>
      <c r="B109" s="117">
        <v>2141</v>
      </c>
      <c r="C109" s="117">
        <v>6121</v>
      </c>
      <c r="D109" s="69">
        <v>107</v>
      </c>
      <c r="E109" s="202" t="s">
        <v>1156</v>
      </c>
      <c r="F109" s="205">
        <v>11500</v>
      </c>
      <c r="G109" s="99">
        <v>9500000</v>
      </c>
      <c r="H109" s="206"/>
      <c r="I109" s="65">
        <f t="shared" si="19"/>
        <v>9500000</v>
      </c>
      <c r="J109" s="99">
        <f>N109+1126000</f>
        <v>6326000</v>
      </c>
      <c r="K109" s="206">
        <v>6218550.8</v>
      </c>
      <c r="L109" s="99">
        <f>K109/J109*100</f>
        <v>98.30146696174518</v>
      </c>
      <c r="M109" s="99">
        <v>4300000</v>
      </c>
      <c r="N109" s="99">
        <f t="shared" si="20"/>
        <v>5200000</v>
      </c>
      <c r="O109" s="202" t="s">
        <v>932</v>
      </c>
      <c r="P109" s="114"/>
      <c r="Q109" s="115"/>
      <c r="R109" s="115"/>
      <c r="S109" s="115"/>
      <c r="T109" s="115"/>
      <c r="U109" s="115"/>
    </row>
    <row r="110" spans="1:21" s="116" customFormat="1" ht="15.75" customHeight="1">
      <c r="A110" s="204">
        <v>24977</v>
      </c>
      <c r="B110" s="117">
        <v>2271</v>
      </c>
      <c r="C110" s="117">
        <v>6121</v>
      </c>
      <c r="D110" s="181">
        <v>108</v>
      </c>
      <c r="E110" s="202" t="s">
        <v>1027</v>
      </c>
      <c r="F110" s="205">
        <v>0</v>
      </c>
      <c r="G110" s="99">
        <v>284000</v>
      </c>
      <c r="H110" s="206"/>
      <c r="I110" s="65">
        <f t="shared" si="19"/>
        <v>284000</v>
      </c>
      <c r="J110" s="99">
        <f t="shared" si="21"/>
        <v>284000</v>
      </c>
      <c r="K110" s="206">
        <v>283102.2</v>
      </c>
      <c r="L110" s="99">
        <f aca="true" t="shared" si="22" ref="L110:L126">K110/J110*100</f>
        <v>99.68387323943662</v>
      </c>
      <c r="M110" s="99"/>
      <c r="N110" s="99">
        <f t="shared" si="20"/>
        <v>284000</v>
      </c>
      <c r="O110" s="202" t="s">
        <v>932</v>
      </c>
      <c r="P110" s="114"/>
      <c r="Q110" s="115"/>
      <c r="R110" s="115"/>
      <c r="S110" s="115"/>
      <c r="T110" s="115"/>
      <c r="U110" s="115"/>
    </row>
    <row r="111" spans="1:21" s="116" customFormat="1" ht="15.75" customHeight="1">
      <c r="A111" s="192">
        <v>24851</v>
      </c>
      <c r="B111" s="69">
        <v>2212</v>
      </c>
      <c r="C111" s="69">
        <v>6121</v>
      </c>
      <c r="D111" s="69">
        <v>109</v>
      </c>
      <c r="E111" s="101" t="s">
        <v>1028</v>
      </c>
      <c r="F111" s="64">
        <v>298</v>
      </c>
      <c r="G111" s="99">
        <v>298000</v>
      </c>
      <c r="H111" s="65"/>
      <c r="I111" s="65">
        <f t="shared" si="19"/>
        <v>298000</v>
      </c>
      <c r="J111" s="99">
        <f t="shared" si="21"/>
        <v>298000</v>
      </c>
      <c r="K111" s="65">
        <v>297381</v>
      </c>
      <c r="L111" s="99">
        <f t="shared" si="22"/>
        <v>99.79228187919463</v>
      </c>
      <c r="M111" s="99"/>
      <c r="N111" s="99">
        <f t="shared" si="20"/>
        <v>298000</v>
      </c>
      <c r="O111" s="101" t="s">
        <v>932</v>
      </c>
      <c r="P111" s="114"/>
      <c r="Q111" s="115"/>
      <c r="R111" s="115"/>
      <c r="S111" s="115"/>
      <c r="T111" s="115"/>
      <c r="U111" s="115"/>
    </row>
    <row r="112" spans="1:21" s="116" customFormat="1" ht="15.75" customHeight="1">
      <c r="A112" s="192" t="s">
        <v>1029</v>
      </c>
      <c r="B112" s="69">
        <v>2219</v>
      </c>
      <c r="C112" s="69">
        <v>6121</v>
      </c>
      <c r="D112" s="181">
        <v>110</v>
      </c>
      <c r="E112" s="101" t="s">
        <v>1030</v>
      </c>
      <c r="F112" s="64">
        <v>0</v>
      </c>
      <c r="G112" s="99">
        <v>200000</v>
      </c>
      <c r="H112" s="65"/>
      <c r="I112" s="65">
        <f t="shared" si="19"/>
        <v>200000</v>
      </c>
      <c r="J112" s="99">
        <f t="shared" si="21"/>
        <v>200000</v>
      </c>
      <c r="K112" s="65">
        <v>150892</v>
      </c>
      <c r="L112" s="99">
        <f t="shared" si="22"/>
        <v>75.446</v>
      </c>
      <c r="M112" s="99"/>
      <c r="N112" s="99">
        <f t="shared" si="20"/>
        <v>200000</v>
      </c>
      <c r="O112" s="101" t="s">
        <v>932</v>
      </c>
      <c r="P112" s="114"/>
      <c r="Q112" s="115"/>
      <c r="R112" s="115"/>
      <c r="S112" s="115"/>
      <c r="T112" s="115"/>
      <c r="U112" s="115"/>
    </row>
    <row r="113" spans="1:21" s="116" customFormat="1" ht="15.75" customHeight="1">
      <c r="A113" s="129">
        <v>24734</v>
      </c>
      <c r="B113" s="69">
        <v>2321</v>
      </c>
      <c r="C113" s="69">
        <v>6121</v>
      </c>
      <c r="D113" s="69">
        <v>111</v>
      </c>
      <c r="E113" s="101" t="s">
        <v>1031</v>
      </c>
      <c r="F113" s="64">
        <v>330</v>
      </c>
      <c r="G113" s="99">
        <v>330000</v>
      </c>
      <c r="H113" s="65"/>
      <c r="I113" s="65">
        <f t="shared" si="19"/>
        <v>330000</v>
      </c>
      <c r="J113" s="99">
        <f>N113-220000</f>
        <v>110000</v>
      </c>
      <c r="K113" s="65">
        <v>109513.3</v>
      </c>
      <c r="L113" s="99">
        <f t="shared" si="22"/>
        <v>99.55754545454546</v>
      </c>
      <c r="M113" s="99"/>
      <c r="N113" s="99">
        <f t="shared" si="20"/>
        <v>330000</v>
      </c>
      <c r="O113" s="101" t="s">
        <v>932</v>
      </c>
      <c r="P113" s="114"/>
      <c r="Q113" s="115"/>
      <c r="R113" s="115"/>
      <c r="S113" s="115"/>
      <c r="T113" s="115"/>
      <c r="U113" s="115"/>
    </row>
    <row r="114" spans="1:21" s="116" customFormat="1" ht="15.75" customHeight="1">
      <c r="A114" s="129">
        <v>25005</v>
      </c>
      <c r="B114" s="69">
        <v>3412</v>
      </c>
      <c r="C114" s="69">
        <v>6121</v>
      </c>
      <c r="D114" s="181">
        <v>112</v>
      </c>
      <c r="E114" s="101" t="s">
        <v>1032</v>
      </c>
      <c r="F114" s="64">
        <v>0</v>
      </c>
      <c r="G114" s="99">
        <v>1100000</v>
      </c>
      <c r="H114" s="65"/>
      <c r="I114" s="65">
        <f t="shared" si="19"/>
        <v>1100000</v>
      </c>
      <c r="J114" s="99">
        <f aca="true" t="shared" si="23" ref="J114:J125">N114</f>
        <v>1100000</v>
      </c>
      <c r="K114" s="65">
        <v>978729</v>
      </c>
      <c r="L114" s="99">
        <f t="shared" si="22"/>
        <v>88.97536363636364</v>
      </c>
      <c r="M114" s="99"/>
      <c r="N114" s="99">
        <f t="shared" si="20"/>
        <v>1100000</v>
      </c>
      <c r="O114" s="101" t="s">
        <v>932</v>
      </c>
      <c r="P114" s="114"/>
      <c r="Q114" s="115"/>
      <c r="R114" s="115"/>
      <c r="S114" s="115"/>
      <c r="T114" s="115"/>
      <c r="U114" s="115"/>
    </row>
    <row r="115" spans="1:21" s="116" customFormat="1" ht="15.75" customHeight="1">
      <c r="A115" s="97">
        <v>24949</v>
      </c>
      <c r="B115" s="97">
        <v>3741</v>
      </c>
      <c r="C115" s="97">
        <v>6121</v>
      </c>
      <c r="D115" s="69">
        <v>113</v>
      </c>
      <c r="E115" s="66" t="s">
        <v>1033</v>
      </c>
      <c r="F115" s="64">
        <v>1000</v>
      </c>
      <c r="G115" s="99">
        <v>480000</v>
      </c>
      <c r="H115" s="65"/>
      <c r="I115" s="65">
        <f t="shared" si="19"/>
        <v>480000</v>
      </c>
      <c r="J115" s="99">
        <f t="shared" si="23"/>
        <v>480000</v>
      </c>
      <c r="K115" s="65">
        <v>383180</v>
      </c>
      <c r="L115" s="99">
        <f t="shared" si="22"/>
        <v>79.82916666666667</v>
      </c>
      <c r="M115" s="99"/>
      <c r="N115" s="99">
        <f t="shared" si="20"/>
        <v>480000</v>
      </c>
      <c r="O115" s="101" t="s">
        <v>932</v>
      </c>
      <c r="P115" s="114"/>
      <c r="Q115" s="115"/>
      <c r="R115" s="115"/>
      <c r="S115" s="115"/>
      <c r="T115" s="115"/>
      <c r="U115" s="115"/>
    </row>
    <row r="116" spans="1:21" s="116" customFormat="1" ht="15.75" customHeight="1">
      <c r="A116" s="97">
        <v>24989</v>
      </c>
      <c r="B116" s="97">
        <v>3113</v>
      </c>
      <c r="C116" s="97">
        <v>6121</v>
      </c>
      <c r="D116" s="181">
        <v>114</v>
      </c>
      <c r="E116" s="66" t="s">
        <v>1034</v>
      </c>
      <c r="F116" s="64">
        <v>0</v>
      </c>
      <c r="G116" s="99">
        <v>571500</v>
      </c>
      <c r="H116" s="65"/>
      <c r="I116" s="65">
        <f t="shared" si="19"/>
        <v>571500</v>
      </c>
      <c r="J116" s="99">
        <f t="shared" si="23"/>
        <v>571500</v>
      </c>
      <c r="K116" s="65">
        <v>571200</v>
      </c>
      <c r="L116" s="99">
        <f t="shared" si="22"/>
        <v>99.94750656167979</v>
      </c>
      <c r="M116" s="99"/>
      <c r="N116" s="99">
        <f t="shared" si="20"/>
        <v>571500</v>
      </c>
      <c r="O116" s="101" t="s">
        <v>932</v>
      </c>
      <c r="P116" s="114"/>
      <c r="Q116" s="115"/>
      <c r="R116" s="115"/>
      <c r="S116" s="115"/>
      <c r="T116" s="115"/>
      <c r="U116" s="115"/>
    </row>
    <row r="117" spans="1:21" s="116" customFormat="1" ht="15.75" customHeight="1">
      <c r="A117" s="97">
        <v>24992</v>
      </c>
      <c r="B117" s="97">
        <v>3113</v>
      </c>
      <c r="C117" s="97">
        <v>6121</v>
      </c>
      <c r="D117" s="69">
        <v>115</v>
      </c>
      <c r="E117" s="66" t="s">
        <v>1035</v>
      </c>
      <c r="F117" s="64">
        <v>0</v>
      </c>
      <c r="G117" s="99">
        <v>535500</v>
      </c>
      <c r="H117" s="65"/>
      <c r="I117" s="65">
        <f t="shared" si="19"/>
        <v>535500</v>
      </c>
      <c r="J117" s="99">
        <f t="shared" si="23"/>
        <v>535500</v>
      </c>
      <c r="K117" s="65">
        <v>535500</v>
      </c>
      <c r="L117" s="99">
        <f t="shared" si="22"/>
        <v>100</v>
      </c>
      <c r="M117" s="99"/>
      <c r="N117" s="99">
        <f t="shared" si="20"/>
        <v>535500</v>
      </c>
      <c r="O117" s="101" t="s">
        <v>932</v>
      </c>
      <c r="P117" s="114"/>
      <c r="Q117" s="115"/>
      <c r="R117" s="115"/>
      <c r="S117" s="115"/>
      <c r="T117" s="115"/>
      <c r="U117" s="115"/>
    </row>
    <row r="118" spans="1:21" s="116" customFormat="1" ht="15.75" customHeight="1">
      <c r="A118" s="129">
        <v>24899</v>
      </c>
      <c r="B118" s="130">
        <v>3113</v>
      </c>
      <c r="C118" s="130">
        <v>6121</v>
      </c>
      <c r="D118" s="181">
        <v>116</v>
      </c>
      <c r="E118" s="66" t="s">
        <v>842</v>
      </c>
      <c r="F118" s="64">
        <v>240</v>
      </c>
      <c r="G118" s="99">
        <v>286000</v>
      </c>
      <c r="H118" s="65"/>
      <c r="I118" s="65">
        <v>286000</v>
      </c>
      <c r="J118" s="99">
        <f t="shared" si="23"/>
        <v>286000</v>
      </c>
      <c r="K118" s="65">
        <v>231480.5</v>
      </c>
      <c r="L118" s="99">
        <f t="shared" si="22"/>
        <v>80.93723776223776</v>
      </c>
      <c r="M118" s="99"/>
      <c r="N118" s="99">
        <f t="shared" si="20"/>
        <v>286000</v>
      </c>
      <c r="O118" s="101" t="s">
        <v>932</v>
      </c>
      <c r="P118" s="114"/>
      <c r="Q118" s="115"/>
      <c r="R118" s="115"/>
      <c r="S118" s="115"/>
      <c r="T118" s="115"/>
      <c r="U118" s="115"/>
    </row>
    <row r="119" spans="1:21" s="116" customFormat="1" ht="15.75" customHeight="1">
      <c r="A119" s="74">
        <v>24991</v>
      </c>
      <c r="B119" s="131">
        <v>3113</v>
      </c>
      <c r="C119" s="131">
        <v>6121</v>
      </c>
      <c r="D119" s="69">
        <v>117</v>
      </c>
      <c r="E119" s="88" t="s">
        <v>364</v>
      </c>
      <c r="F119" s="83">
        <v>0</v>
      </c>
      <c r="G119" s="99">
        <v>833000</v>
      </c>
      <c r="H119" s="84"/>
      <c r="I119" s="65">
        <f aca="true" t="shared" si="24" ref="I119:I128">G119+H119</f>
        <v>833000</v>
      </c>
      <c r="J119" s="99">
        <f t="shared" si="23"/>
        <v>833000</v>
      </c>
      <c r="K119" s="84">
        <v>833000</v>
      </c>
      <c r="L119" s="99">
        <f t="shared" si="22"/>
        <v>100</v>
      </c>
      <c r="M119" s="99"/>
      <c r="N119" s="99">
        <f t="shared" si="20"/>
        <v>833000</v>
      </c>
      <c r="O119" s="101" t="s">
        <v>932</v>
      </c>
      <c r="P119" s="114"/>
      <c r="Q119" s="115"/>
      <c r="R119" s="115"/>
      <c r="S119" s="115"/>
      <c r="T119" s="115"/>
      <c r="U119" s="115"/>
    </row>
    <row r="120" spans="1:21" s="116" customFormat="1" ht="15.75" customHeight="1">
      <c r="A120" s="74">
        <v>24997</v>
      </c>
      <c r="B120" s="131">
        <v>3113</v>
      </c>
      <c r="C120" s="131">
        <v>6121</v>
      </c>
      <c r="D120" s="181">
        <v>118</v>
      </c>
      <c r="E120" s="88" t="s">
        <v>843</v>
      </c>
      <c r="F120" s="83">
        <v>0</v>
      </c>
      <c r="G120" s="99">
        <v>200000</v>
      </c>
      <c r="H120" s="84"/>
      <c r="I120" s="65">
        <f t="shared" si="24"/>
        <v>200000</v>
      </c>
      <c r="J120" s="99">
        <f t="shared" si="23"/>
        <v>200000</v>
      </c>
      <c r="K120" s="84">
        <v>167790</v>
      </c>
      <c r="L120" s="99">
        <f t="shared" si="22"/>
        <v>83.895</v>
      </c>
      <c r="M120" s="99"/>
      <c r="N120" s="99">
        <f t="shared" si="20"/>
        <v>200000</v>
      </c>
      <c r="O120" s="101" t="s">
        <v>932</v>
      </c>
      <c r="P120" s="114"/>
      <c r="Q120" s="115"/>
      <c r="R120" s="115"/>
      <c r="S120" s="115"/>
      <c r="T120" s="115"/>
      <c r="U120" s="115"/>
    </row>
    <row r="121" spans="1:21" s="116" customFormat="1" ht="15.75" customHeight="1">
      <c r="A121" s="75">
        <v>24795</v>
      </c>
      <c r="B121" s="75">
        <v>3141</v>
      </c>
      <c r="C121" s="131">
        <v>6121</v>
      </c>
      <c r="D121" s="69">
        <v>119</v>
      </c>
      <c r="E121" s="207" t="s">
        <v>1020</v>
      </c>
      <c r="F121" s="83">
        <v>60</v>
      </c>
      <c r="G121" s="99">
        <v>60000</v>
      </c>
      <c r="H121" s="84"/>
      <c r="I121" s="65">
        <f t="shared" si="24"/>
        <v>60000</v>
      </c>
      <c r="J121" s="99">
        <f t="shared" si="23"/>
        <v>60000</v>
      </c>
      <c r="K121" s="84">
        <v>50611</v>
      </c>
      <c r="L121" s="99">
        <f t="shared" si="22"/>
        <v>84.35166666666667</v>
      </c>
      <c r="M121" s="99"/>
      <c r="N121" s="99">
        <f t="shared" si="20"/>
        <v>60000</v>
      </c>
      <c r="O121" s="101" t="s">
        <v>932</v>
      </c>
      <c r="P121" s="114"/>
      <c r="Q121" s="115"/>
      <c r="R121" s="115"/>
      <c r="S121" s="115"/>
      <c r="T121" s="115"/>
      <c r="U121" s="115"/>
    </row>
    <row r="122" spans="1:21" s="116" customFormat="1" ht="15.75" customHeight="1">
      <c r="A122" s="75">
        <v>24990</v>
      </c>
      <c r="B122" s="75">
        <v>3113</v>
      </c>
      <c r="C122" s="208">
        <v>6121</v>
      </c>
      <c r="D122" s="181">
        <v>120</v>
      </c>
      <c r="E122" s="209" t="s">
        <v>1021</v>
      </c>
      <c r="F122" s="83">
        <v>0</v>
      </c>
      <c r="G122" s="99">
        <v>238000</v>
      </c>
      <c r="H122" s="84"/>
      <c r="I122" s="65">
        <f t="shared" si="24"/>
        <v>238000</v>
      </c>
      <c r="J122" s="99">
        <f t="shared" si="23"/>
        <v>238000</v>
      </c>
      <c r="K122" s="84">
        <v>238000</v>
      </c>
      <c r="L122" s="99">
        <f t="shared" si="22"/>
        <v>100</v>
      </c>
      <c r="M122" s="99"/>
      <c r="N122" s="99">
        <f t="shared" si="20"/>
        <v>238000</v>
      </c>
      <c r="O122" s="101" t="s">
        <v>932</v>
      </c>
      <c r="P122" s="114"/>
      <c r="Q122" s="115"/>
      <c r="R122" s="115"/>
      <c r="S122" s="115"/>
      <c r="T122" s="115"/>
      <c r="U122" s="115"/>
    </row>
    <row r="123" spans="1:21" s="116" customFormat="1" ht="15.75" customHeight="1">
      <c r="A123" s="75">
        <v>24994</v>
      </c>
      <c r="B123" s="75">
        <v>3113</v>
      </c>
      <c r="C123" s="208">
        <v>6121</v>
      </c>
      <c r="D123" s="69">
        <v>121</v>
      </c>
      <c r="E123" s="209" t="s">
        <v>1022</v>
      </c>
      <c r="F123" s="83">
        <v>0</v>
      </c>
      <c r="G123" s="99">
        <v>333500</v>
      </c>
      <c r="H123" s="84"/>
      <c r="I123" s="65">
        <f t="shared" si="24"/>
        <v>333500</v>
      </c>
      <c r="J123" s="99">
        <f t="shared" si="23"/>
        <v>333500</v>
      </c>
      <c r="K123" s="84">
        <v>333200</v>
      </c>
      <c r="L123" s="99">
        <f t="shared" si="22"/>
        <v>99.91004497751125</v>
      </c>
      <c r="M123" s="99"/>
      <c r="N123" s="99">
        <f t="shared" si="20"/>
        <v>333500</v>
      </c>
      <c r="O123" s="101" t="s">
        <v>932</v>
      </c>
      <c r="P123" s="114"/>
      <c r="Q123" s="115"/>
      <c r="R123" s="115"/>
      <c r="S123" s="115"/>
      <c r="T123" s="115"/>
      <c r="U123" s="115"/>
    </row>
    <row r="124" spans="1:21" s="116" customFormat="1" ht="15.75" customHeight="1">
      <c r="A124" s="75">
        <v>24792</v>
      </c>
      <c r="B124" s="75">
        <v>3113</v>
      </c>
      <c r="C124" s="208">
        <v>6121</v>
      </c>
      <c r="D124" s="181">
        <v>122</v>
      </c>
      <c r="E124" s="209" t="s">
        <v>331</v>
      </c>
      <c r="F124" s="83">
        <v>0</v>
      </c>
      <c r="G124" s="99">
        <v>45000</v>
      </c>
      <c r="H124" s="84"/>
      <c r="I124" s="65">
        <f t="shared" si="24"/>
        <v>45000</v>
      </c>
      <c r="J124" s="99">
        <f t="shared" si="23"/>
        <v>45000</v>
      </c>
      <c r="K124" s="84">
        <v>44030</v>
      </c>
      <c r="L124" s="99">
        <f t="shared" si="22"/>
        <v>97.84444444444445</v>
      </c>
      <c r="M124" s="99"/>
      <c r="N124" s="99">
        <f t="shared" si="20"/>
        <v>45000</v>
      </c>
      <c r="O124" s="101" t="s">
        <v>932</v>
      </c>
      <c r="P124" s="114"/>
      <c r="Q124" s="115"/>
      <c r="R124" s="115"/>
      <c r="S124" s="115"/>
      <c r="T124" s="115"/>
      <c r="U124" s="115"/>
    </row>
    <row r="125" spans="1:21" s="116" customFormat="1" ht="15.75" customHeight="1">
      <c r="A125" s="75">
        <v>24790</v>
      </c>
      <c r="B125" s="75">
        <v>3113</v>
      </c>
      <c r="C125" s="208">
        <v>6121</v>
      </c>
      <c r="D125" s="69">
        <v>123</v>
      </c>
      <c r="E125" s="209" t="s">
        <v>1023</v>
      </c>
      <c r="F125" s="83">
        <v>0</v>
      </c>
      <c r="G125" s="99">
        <v>18000</v>
      </c>
      <c r="H125" s="84"/>
      <c r="I125" s="65">
        <f t="shared" si="24"/>
        <v>18000</v>
      </c>
      <c r="J125" s="99">
        <f t="shared" si="23"/>
        <v>18000</v>
      </c>
      <c r="K125" s="84">
        <v>17683</v>
      </c>
      <c r="L125" s="99">
        <f t="shared" si="22"/>
        <v>98.23888888888888</v>
      </c>
      <c r="M125" s="99"/>
      <c r="N125" s="99">
        <f t="shared" si="20"/>
        <v>18000</v>
      </c>
      <c r="O125" s="101" t="s">
        <v>932</v>
      </c>
      <c r="P125" s="114"/>
      <c r="Q125" s="115"/>
      <c r="R125" s="115"/>
      <c r="S125" s="115"/>
      <c r="T125" s="115"/>
      <c r="U125" s="115"/>
    </row>
    <row r="126" spans="1:21" s="116" customFormat="1" ht="15.75" customHeight="1">
      <c r="A126" s="75">
        <v>25046</v>
      </c>
      <c r="B126" s="75">
        <v>3141</v>
      </c>
      <c r="C126" s="208">
        <v>6121</v>
      </c>
      <c r="D126" s="181">
        <v>124</v>
      </c>
      <c r="E126" s="209" t="s">
        <v>1024</v>
      </c>
      <c r="F126" s="83">
        <v>0</v>
      </c>
      <c r="G126" s="99">
        <v>100000</v>
      </c>
      <c r="H126" s="84"/>
      <c r="I126" s="65">
        <f t="shared" si="24"/>
        <v>100000</v>
      </c>
      <c r="J126" s="99">
        <f>N126+36000</f>
        <v>136000</v>
      </c>
      <c r="K126" s="84">
        <v>135508</v>
      </c>
      <c r="L126" s="99">
        <f t="shared" si="22"/>
        <v>99.63823529411765</v>
      </c>
      <c r="M126" s="99"/>
      <c r="N126" s="99">
        <f t="shared" si="20"/>
        <v>100000</v>
      </c>
      <c r="O126" s="101" t="s">
        <v>932</v>
      </c>
      <c r="P126" s="114"/>
      <c r="Q126" s="115"/>
      <c r="R126" s="115"/>
      <c r="S126" s="115"/>
      <c r="T126" s="115"/>
      <c r="U126" s="115"/>
    </row>
    <row r="127" spans="1:21" s="116" customFormat="1" ht="15.75" customHeight="1">
      <c r="A127" s="75">
        <v>24993</v>
      </c>
      <c r="B127" s="75">
        <v>3113</v>
      </c>
      <c r="C127" s="208">
        <v>6121</v>
      </c>
      <c r="D127" s="69">
        <v>125</v>
      </c>
      <c r="E127" s="210" t="s">
        <v>1025</v>
      </c>
      <c r="F127" s="83">
        <v>0</v>
      </c>
      <c r="G127" s="99">
        <v>512000</v>
      </c>
      <c r="H127" s="84"/>
      <c r="I127" s="65">
        <f t="shared" si="24"/>
        <v>512000</v>
      </c>
      <c r="J127" s="99">
        <f>N127</f>
        <v>512000</v>
      </c>
      <c r="K127" s="84">
        <v>511700</v>
      </c>
      <c r="L127" s="99">
        <f>K127/J127*100</f>
        <v>99.94140625</v>
      </c>
      <c r="M127" s="99"/>
      <c r="N127" s="99">
        <f t="shared" si="20"/>
        <v>512000</v>
      </c>
      <c r="O127" s="101" t="s">
        <v>932</v>
      </c>
      <c r="P127" s="114"/>
      <c r="Q127" s="115"/>
      <c r="R127" s="115"/>
      <c r="S127" s="115"/>
      <c r="T127" s="115"/>
      <c r="U127" s="115"/>
    </row>
    <row r="128" spans="1:21" s="147" customFormat="1" ht="15.75" customHeight="1" thickBot="1">
      <c r="A128" s="139">
        <v>24950</v>
      </c>
      <c r="B128" s="211">
        <v>3113</v>
      </c>
      <c r="C128" s="212">
        <v>6121</v>
      </c>
      <c r="D128" s="181">
        <v>126</v>
      </c>
      <c r="E128" s="144" t="s">
        <v>1026</v>
      </c>
      <c r="F128" s="141">
        <v>200</v>
      </c>
      <c r="G128" s="99">
        <v>200000</v>
      </c>
      <c r="H128" s="142"/>
      <c r="I128" s="65">
        <f t="shared" si="24"/>
        <v>200000</v>
      </c>
      <c r="J128" s="99">
        <f>N128</f>
        <v>200000</v>
      </c>
      <c r="K128" s="142">
        <v>189150</v>
      </c>
      <c r="L128" s="99">
        <f>K128/J128*100</f>
        <v>94.575</v>
      </c>
      <c r="M128" s="213"/>
      <c r="N128" s="99">
        <f t="shared" si="20"/>
        <v>200000</v>
      </c>
      <c r="O128" s="214" t="s">
        <v>932</v>
      </c>
      <c r="P128" s="145"/>
      <c r="Q128" s="146"/>
      <c r="R128" s="146"/>
      <c r="S128" s="146"/>
      <c r="T128" s="146"/>
      <c r="U128" s="146"/>
    </row>
    <row r="129" spans="1:21" s="156" customFormat="1" ht="14.25" customHeight="1" thickBot="1">
      <c r="A129" s="215"/>
      <c r="B129" s="215"/>
      <c r="C129" s="216"/>
      <c r="D129" s="217"/>
      <c r="E129" s="218" t="s">
        <v>335</v>
      </c>
      <c r="F129" s="219">
        <f aca="true" t="shared" si="25" ref="F129:K129">SUM(F3:F128)</f>
        <v>51878</v>
      </c>
      <c r="G129" s="153">
        <f t="shared" si="25"/>
        <v>56834500</v>
      </c>
      <c r="H129" s="153">
        <f t="shared" si="25"/>
        <v>380000</v>
      </c>
      <c r="I129" s="153">
        <f t="shared" si="25"/>
        <v>57214500</v>
      </c>
      <c r="J129" s="153">
        <f t="shared" si="25"/>
        <v>50617592</v>
      </c>
      <c r="K129" s="153">
        <f t="shared" si="25"/>
        <v>42155458.64</v>
      </c>
      <c r="L129" s="220">
        <f>K129/J129*100</f>
        <v>83.2822285184961</v>
      </c>
      <c r="M129" s="220">
        <f>SUM(M3:M128)</f>
        <v>4300000</v>
      </c>
      <c r="N129" s="220">
        <f>SUM(N3:N128)</f>
        <v>52914500</v>
      </c>
      <c r="O129" s="221"/>
      <c r="P129" s="155"/>
      <c r="Q129" s="155"/>
      <c r="R129" s="155"/>
      <c r="S129" s="155"/>
      <c r="T129" s="155"/>
      <c r="U129" s="155"/>
    </row>
    <row r="130" spans="1:14" ht="14.25" customHeight="1">
      <c r="A130" s="222"/>
      <c r="B130" s="222"/>
      <c r="C130" s="222"/>
      <c r="D130" s="222"/>
      <c r="E130" s="223"/>
      <c r="F130" s="170"/>
      <c r="G130" s="170"/>
      <c r="H130" s="170"/>
      <c r="I130" s="170"/>
      <c r="J130" s="170"/>
      <c r="K130" s="170"/>
      <c r="L130" s="170"/>
      <c r="M130" s="170"/>
      <c r="N130" s="170"/>
    </row>
    <row r="131" spans="1:15" ht="15.75">
      <c r="A131" s="224"/>
      <c r="B131" s="224"/>
      <c r="C131" s="224"/>
      <c r="D131" s="224"/>
      <c r="E131" s="224"/>
      <c r="F131" s="170"/>
      <c r="G131" s="170"/>
      <c r="H131" s="170"/>
      <c r="I131" s="170"/>
      <c r="J131" s="170"/>
      <c r="K131" s="170"/>
      <c r="L131" s="170"/>
      <c r="M131" s="170"/>
      <c r="N131" s="170"/>
      <c r="O131" s="225"/>
    </row>
    <row r="132" spans="1:15" ht="15.75">
      <c r="A132" s="224"/>
      <c r="B132" s="224"/>
      <c r="C132" s="224"/>
      <c r="D132" s="224"/>
      <c r="E132" s="224"/>
      <c r="F132" s="170"/>
      <c r="G132" s="170"/>
      <c r="H132" s="170"/>
      <c r="I132" s="170"/>
      <c r="J132" s="170"/>
      <c r="K132" s="170"/>
      <c r="L132" s="170"/>
      <c r="M132" s="170"/>
      <c r="N132" s="170"/>
      <c r="O132" s="225"/>
    </row>
    <row r="133" spans="1:15" ht="15.75">
      <c r="A133" s="224"/>
      <c r="B133" s="224"/>
      <c r="C133" s="224"/>
      <c r="D133" s="224"/>
      <c r="E133" s="224"/>
      <c r="F133" s="170"/>
      <c r="G133" s="170"/>
      <c r="H133" s="170"/>
      <c r="I133" s="170"/>
      <c r="J133" s="170"/>
      <c r="K133" s="170"/>
      <c r="L133" s="170"/>
      <c r="M133" s="170"/>
      <c r="N133" s="170"/>
      <c r="O133" s="225"/>
    </row>
    <row r="134" spans="1:15" ht="15.75">
      <c r="A134" s="224"/>
      <c r="B134" s="224"/>
      <c r="C134" s="224"/>
      <c r="D134" s="224"/>
      <c r="E134" s="224"/>
      <c r="F134" s="170"/>
      <c r="G134" s="170"/>
      <c r="H134" s="170"/>
      <c r="I134" s="170"/>
      <c r="J134" s="170"/>
      <c r="K134" s="170"/>
      <c r="L134" s="170"/>
      <c r="M134" s="170"/>
      <c r="N134" s="170"/>
      <c r="O134" s="225"/>
    </row>
    <row r="135" spans="1:15" ht="15.75">
      <c r="A135" s="224"/>
      <c r="B135" s="224"/>
      <c r="C135" s="224"/>
      <c r="D135" s="224"/>
      <c r="E135" s="224"/>
      <c r="F135" s="170"/>
      <c r="G135" s="170"/>
      <c r="H135" s="170"/>
      <c r="I135" s="170"/>
      <c r="J135" s="170"/>
      <c r="K135" s="170"/>
      <c r="L135" s="170"/>
      <c r="M135" s="170"/>
      <c r="N135" s="170"/>
      <c r="O135" s="225"/>
    </row>
    <row r="136" spans="6:21" s="226" customFormat="1" ht="12.75">
      <c r="F136" s="227"/>
      <c r="G136" s="227"/>
      <c r="H136" s="227"/>
      <c r="I136" s="227"/>
      <c r="J136" s="227"/>
      <c r="K136" s="227"/>
      <c r="L136" s="227"/>
      <c r="M136" s="227"/>
      <c r="N136" s="227"/>
      <c r="O136" s="171"/>
      <c r="P136" s="165"/>
      <c r="Q136" s="165"/>
      <c r="R136" s="165"/>
      <c r="S136" s="165"/>
      <c r="T136" s="165"/>
      <c r="U136" s="165"/>
    </row>
    <row r="137" spans="1:15" s="165" customFormat="1" ht="8.25" customHeight="1">
      <c r="A137" s="168"/>
      <c r="B137" s="168"/>
      <c r="C137" s="168"/>
      <c r="D137" s="168"/>
      <c r="E137" s="169"/>
      <c r="F137" s="170"/>
      <c r="G137" s="170"/>
      <c r="H137" s="170"/>
      <c r="I137" s="170"/>
      <c r="J137" s="170"/>
      <c r="K137" s="170"/>
      <c r="L137" s="170"/>
      <c r="M137" s="170"/>
      <c r="N137" s="170"/>
      <c r="O137" s="171"/>
    </row>
    <row r="138" spans="1:15" s="165" customFormat="1" ht="11.25" customHeight="1">
      <c r="A138" s="168"/>
      <c r="B138" s="168"/>
      <c r="C138" s="168"/>
      <c r="D138" s="168"/>
      <c r="E138" s="169"/>
      <c r="F138" s="170"/>
      <c r="G138" s="170"/>
      <c r="H138" s="170"/>
      <c r="I138" s="170"/>
      <c r="J138" s="170"/>
      <c r="K138" s="170"/>
      <c r="L138" s="170"/>
      <c r="M138" s="170"/>
      <c r="N138" s="170"/>
      <c r="O138" s="171"/>
    </row>
    <row r="139" spans="1:15" s="165" customFormat="1" ht="11.25" customHeight="1">
      <c r="A139" s="168"/>
      <c r="B139" s="168"/>
      <c r="C139" s="168"/>
      <c r="D139" s="168"/>
      <c r="E139" s="169"/>
      <c r="F139" s="170"/>
      <c r="G139" s="170"/>
      <c r="H139" s="170"/>
      <c r="I139" s="170"/>
      <c r="J139" s="170"/>
      <c r="K139" s="170"/>
      <c r="L139" s="170"/>
      <c r="M139" s="170"/>
      <c r="N139" s="170"/>
      <c r="O139" s="171"/>
    </row>
    <row r="140" spans="1:15" s="165" customFormat="1" ht="11.25" customHeight="1">
      <c r="A140" s="168"/>
      <c r="B140" s="168"/>
      <c r="C140" s="168"/>
      <c r="D140" s="168"/>
      <c r="E140" s="169"/>
      <c r="F140" s="170"/>
      <c r="G140" s="170"/>
      <c r="H140" s="170"/>
      <c r="I140" s="170"/>
      <c r="J140" s="170"/>
      <c r="K140" s="170"/>
      <c r="L140" s="170"/>
      <c r="M140" s="170"/>
      <c r="N140" s="170"/>
      <c r="O140" s="171"/>
    </row>
    <row r="141" spans="1:15" s="165" customFormat="1" ht="11.25" customHeight="1">
      <c r="A141" s="168"/>
      <c r="B141" s="168"/>
      <c r="C141" s="168"/>
      <c r="D141" s="168"/>
      <c r="E141" s="169"/>
      <c r="F141" s="170"/>
      <c r="G141" s="170"/>
      <c r="H141" s="170"/>
      <c r="I141" s="170"/>
      <c r="J141" s="170"/>
      <c r="K141" s="170"/>
      <c r="L141" s="170"/>
      <c r="M141" s="170"/>
      <c r="N141" s="170"/>
      <c r="O141" s="171"/>
    </row>
    <row r="142" spans="1:15" s="165" customFormat="1" ht="11.25" customHeight="1">
      <c r="A142" s="168"/>
      <c r="B142" s="168"/>
      <c r="C142" s="168"/>
      <c r="D142" s="168"/>
      <c r="E142" s="169"/>
      <c r="F142" s="170"/>
      <c r="G142" s="170"/>
      <c r="H142" s="170"/>
      <c r="I142" s="170"/>
      <c r="J142" s="170"/>
      <c r="K142" s="170"/>
      <c r="L142" s="170"/>
      <c r="M142" s="170"/>
      <c r="N142" s="170"/>
      <c r="O142" s="171"/>
    </row>
    <row r="143" spans="1:15" s="165" customFormat="1" ht="11.25" customHeight="1">
      <c r="A143" s="168"/>
      <c r="B143" s="168"/>
      <c r="C143" s="168"/>
      <c r="D143" s="168"/>
      <c r="E143" s="169"/>
      <c r="F143" s="170"/>
      <c r="G143" s="170"/>
      <c r="H143" s="170"/>
      <c r="I143" s="170"/>
      <c r="J143" s="170"/>
      <c r="K143" s="170"/>
      <c r="L143" s="170"/>
      <c r="M143" s="170"/>
      <c r="N143" s="170"/>
      <c r="O143" s="171"/>
    </row>
    <row r="144" spans="1:15" s="165" customFormat="1" ht="11.25" customHeight="1">
      <c r="A144" s="168"/>
      <c r="B144" s="168"/>
      <c r="C144" s="168"/>
      <c r="D144" s="168"/>
      <c r="E144" s="169"/>
      <c r="F144" s="170"/>
      <c r="G144" s="170"/>
      <c r="H144" s="170"/>
      <c r="I144" s="170"/>
      <c r="J144" s="170"/>
      <c r="K144" s="170"/>
      <c r="L144" s="170"/>
      <c r="M144" s="170"/>
      <c r="N144" s="170"/>
      <c r="O144" s="171"/>
    </row>
    <row r="145" spans="1:15" s="165" customFormat="1" ht="17.25" customHeight="1">
      <c r="A145" s="168"/>
      <c r="B145" s="168"/>
      <c r="C145" s="168"/>
      <c r="D145" s="168"/>
      <c r="E145" s="169"/>
      <c r="F145" s="170"/>
      <c r="G145" s="170"/>
      <c r="H145" s="170"/>
      <c r="I145" s="170"/>
      <c r="J145" s="170"/>
      <c r="K145" s="170"/>
      <c r="L145" s="170"/>
      <c r="M145" s="170"/>
      <c r="N145" s="170"/>
      <c r="O145" s="171"/>
    </row>
    <row r="146" spans="1:15" s="165" customFormat="1" ht="43.5" customHeight="1">
      <c r="A146" s="228"/>
      <c r="B146" s="229"/>
      <c r="C146" s="230"/>
      <c r="D146" s="230"/>
      <c r="E146" s="231"/>
      <c r="F146" s="232"/>
      <c r="G146" s="232"/>
      <c r="H146" s="232"/>
      <c r="I146" s="232"/>
      <c r="J146" s="232"/>
      <c r="K146" s="232"/>
      <c r="L146" s="232"/>
      <c r="M146" s="232"/>
      <c r="N146" s="232"/>
      <c r="O146" s="233"/>
    </row>
    <row r="147" spans="1:15" s="165" customFormat="1" ht="30.75" customHeight="1">
      <c r="A147" s="161"/>
      <c r="B147" s="161"/>
      <c r="C147" s="161"/>
      <c r="D147" s="161"/>
      <c r="E147" s="162"/>
      <c r="F147" s="163"/>
      <c r="G147" s="163"/>
      <c r="H147" s="163"/>
      <c r="I147" s="163"/>
      <c r="J147" s="163"/>
      <c r="K147" s="163"/>
      <c r="L147" s="163"/>
      <c r="M147" s="163"/>
      <c r="N147" s="163"/>
      <c r="O147" s="164"/>
    </row>
    <row r="148" spans="1:15" s="165" customFormat="1" ht="30.75" customHeight="1">
      <c r="A148" s="161"/>
      <c r="B148" s="161"/>
      <c r="C148" s="161"/>
      <c r="D148" s="161"/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4"/>
    </row>
    <row r="149" spans="1:15" s="165" customFormat="1" ht="31.5" customHeight="1">
      <c r="A149" s="161"/>
      <c r="B149" s="161"/>
      <c r="C149" s="161"/>
      <c r="D149" s="161"/>
      <c r="E149" s="162"/>
      <c r="F149" s="166"/>
      <c r="G149" s="166"/>
      <c r="H149" s="166"/>
      <c r="I149" s="166"/>
      <c r="J149" s="166"/>
      <c r="K149" s="166"/>
      <c r="L149" s="166"/>
      <c r="M149" s="166"/>
      <c r="N149" s="166"/>
      <c r="O149" s="164"/>
    </row>
    <row r="150" spans="1:15" s="165" customFormat="1" ht="43.5" customHeight="1">
      <c r="A150" s="161"/>
      <c r="B150" s="161"/>
      <c r="C150" s="161"/>
      <c r="D150" s="161"/>
      <c r="E150" s="162"/>
      <c r="F150" s="166"/>
      <c r="G150" s="166"/>
      <c r="H150" s="166"/>
      <c r="I150" s="166"/>
      <c r="J150" s="166"/>
      <c r="K150" s="166"/>
      <c r="L150" s="166"/>
      <c r="M150" s="166"/>
      <c r="N150" s="166"/>
      <c r="O150" s="164"/>
    </row>
    <row r="151" spans="1:15" s="165" customFormat="1" ht="29.25" customHeight="1">
      <c r="A151" s="161"/>
      <c r="B151" s="161"/>
      <c r="C151" s="161"/>
      <c r="D151" s="161"/>
      <c r="E151" s="162"/>
      <c r="F151" s="163"/>
      <c r="G151" s="163"/>
      <c r="H151" s="163"/>
      <c r="I151" s="163"/>
      <c r="J151" s="163"/>
      <c r="K151" s="163"/>
      <c r="L151" s="163"/>
      <c r="M151" s="163"/>
      <c r="N151" s="163"/>
      <c r="O151" s="164"/>
    </row>
    <row r="152" spans="1:15" s="165" customFormat="1" ht="33.75" customHeight="1">
      <c r="A152" s="161"/>
      <c r="B152" s="161"/>
      <c r="C152" s="161"/>
      <c r="D152" s="161"/>
      <c r="E152" s="167"/>
      <c r="F152" s="163"/>
      <c r="G152" s="163"/>
      <c r="H152" s="163"/>
      <c r="I152" s="163"/>
      <c r="J152" s="163"/>
      <c r="K152" s="163"/>
      <c r="L152" s="163"/>
      <c r="M152" s="163"/>
      <c r="N152" s="163"/>
      <c r="O152" s="164"/>
    </row>
    <row r="153" spans="1:15" s="165" customFormat="1" ht="8.25" customHeight="1">
      <c r="A153" s="168"/>
      <c r="B153" s="168"/>
      <c r="C153" s="168"/>
      <c r="D153" s="168"/>
      <c r="E153" s="169"/>
      <c r="F153" s="170"/>
      <c r="G153" s="170"/>
      <c r="H153" s="170"/>
      <c r="I153" s="170"/>
      <c r="J153" s="170"/>
      <c r="K153" s="170"/>
      <c r="L153" s="170"/>
      <c r="M153" s="170"/>
      <c r="N153" s="170"/>
      <c r="O153" s="171"/>
    </row>
    <row r="154" spans="1:15" s="165" customFormat="1" ht="8.25" customHeight="1">
      <c r="A154" s="168"/>
      <c r="B154" s="168"/>
      <c r="C154" s="168"/>
      <c r="D154" s="168"/>
      <c r="E154" s="169"/>
      <c r="F154" s="170"/>
      <c r="G154" s="170"/>
      <c r="H154" s="170"/>
      <c r="I154" s="170"/>
      <c r="J154" s="170"/>
      <c r="K154" s="170"/>
      <c r="L154" s="170"/>
      <c r="M154" s="170"/>
      <c r="N154" s="170"/>
      <c r="O154" s="171"/>
    </row>
    <row r="155" spans="1:15" s="165" customFormat="1" ht="8.25" customHeight="1">
      <c r="A155" s="168"/>
      <c r="B155" s="168"/>
      <c r="C155" s="168"/>
      <c r="D155" s="168"/>
      <c r="E155" s="169"/>
      <c r="F155" s="170"/>
      <c r="G155" s="170"/>
      <c r="H155" s="170"/>
      <c r="I155" s="170"/>
      <c r="J155" s="170"/>
      <c r="K155" s="170"/>
      <c r="L155" s="170"/>
      <c r="M155" s="170"/>
      <c r="N155" s="170"/>
      <c r="O155" s="171"/>
    </row>
    <row r="156" spans="1:15" s="165" customFormat="1" ht="8.25" customHeight="1">
      <c r="A156" s="168"/>
      <c r="B156" s="168"/>
      <c r="C156" s="168"/>
      <c r="D156" s="168"/>
      <c r="E156" s="169"/>
      <c r="F156" s="170"/>
      <c r="G156" s="170"/>
      <c r="H156" s="170"/>
      <c r="I156" s="170"/>
      <c r="J156" s="170"/>
      <c r="K156" s="170"/>
      <c r="L156" s="170"/>
      <c r="M156" s="170"/>
      <c r="N156" s="170"/>
      <c r="O156" s="171"/>
    </row>
    <row r="157" spans="1:15" s="165" customFormat="1" ht="8.25" customHeight="1">
      <c r="A157" s="168"/>
      <c r="B157" s="168"/>
      <c r="C157" s="168"/>
      <c r="D157" s="168"/>
      <c r="E157" s="169"/>
      <c r="F157" s="170"/>
      <c r="G157" s="170"/>
      <c r="H157" s="170"/>
      <c r="I157" s="170"/>
      <c r="J157" s="170"/>
      <c r="K157" s="170"/>
      <c r="L157" s="170"/>
      <c r="M157" s="170"/>
      <c r="N157" s="170"/>
      <c r="O157" s="171"/>
    </row>
    <row r="158" spans="1:22" s="67" customFormat="1" ht="15.75">
      <c r="A158" s="168"/>
      <c r="B158" s="172"/>
      <c r="C158" s="172"/>
      <c r="D158" s="172"/>
      <c r="E158" s="167"/>
      <c r="F158" s="159"/>
      <c r="G158" s="159"/>
      <c r="H158" s="159"/>
      <c r="I158" s="159"/>
      <c r="J158" s="159"/>
      <c r="K158" s="159"/>
      <c r="L158" s="159"/>
      <c r="M158" s="159"/>
      <c r="N158" s="159"/>
      <c r="O158" s="171"/>
      <c r="V158" s="72"/>
    </row>
    <row r="159" spans="1:22" s="67" customFormat="1" ht="15.75">
      <c r="A159" s="173"/>
      <c r="B159" s="173"/>
      <c r="C159" s="173"/>
      <c r="D159" s="173"/>
      <c r="E159" s="167"/>
      <c r="F159" s="174"/>
      <c r="G159" s="174"/>
      <c r="H159" s="174"/>
      <c r="I159" s="174"/>
      <c r="J159" s="174"/>
      <c r="K159" s="174"/>
      <c r="L159" s="174"/>
      <c r="M159" s="174"/>
      <c r="N159" s="174"/>
      <c r="O159" s="175"/>
      <c r="V159" s="72"/>
    </row>
    <row r="160" spans="1:22" s="67" customFormat="1" ht="12.75">
      <c r="A160" s="173"/>
      <c r="B160" s="173"/>
      <c r="C160" s="173"/>
      <c r="D160" s="173"/>
      <c r="E160" s="162"/>
      <c r="F160" s="163"/>
      <c r="G160" s="163"/>
      <c r="H160" s="163"/>
      <c r="I160" s="163"/>
      <c r="J160" s="163"/>
      <c r="K160" s="163"/>
      <c r="L160" s="163"/>
      <c r="M160" s="163"/>
      <c r="N160" s="163"/>
      <c r="O160" s="175"/>
      <c r="V160" s="72"/>
    </row>
    <row r="161" spans="1:22" s="67" customFormat="1" ht="15.75">
      <c r="A161" s="173"/>
      <c r="B161" s="173"/>
      <c r="C161" s="173"/>
      <c r="D161" s="173"/>
      <c r="E161" s="167"/>
      <c r="F161" s="174"/>
      <c r="G161" s="174"/>
      <c r="H161" s="174"/>
      <c r="I161" s="174"/>
      <c r="J161" s="174"/>
      <c r="K161" s="174"/>
      <c r="L161" s="174"/>
      <c r="M161" s="174"/>
      <c r="N161" s="174"/>
      <c r="O161" s="175"/>
      <c r="V161" s="72"/>
    </row>
    <row r="162" spans="1:22" s="67" customFormat="1" ht="15.75">
      <c r="A162" s="173"/>
      <c r="B162" s="173"/>
      <c r="C162" s="173"/>
      <c r="D162" s="173"/>
      <c r="E162" s="167"/>
      <c r="F162" s="174"/>
      <c r="G162" s="174"/>
      <c r="H162" s="174"/>
      <c r="I162" s="174"/>
      <c r="J162" s="174"/>
      <c r="K162" s="174"/>
      <c r="L162" s="174"/>
      <c r="M162" s="174"/>
      <c r="N162" s="174"/>
      <c r="O162" s="175"/>
      <c r="V162" s="72"/>
    </row>
    <row r="163" spans="1:22" s="67" customFormat="1" ht="15.75">
      <c r="A163" s="173"/>
      <c r="B163" s="173"/>
      <c r="C163" s="173"/>
      <c r="D163" s="173"/>
      <c r="E163" s="167"/>
      <c r="F163" s="174"/>
      <c r="G163" s="174"/>
      <c r="H163" s="174"/>
      <c r="I163" s="174"/>
      <c r="J163" s="174"/>
      <c r="K163" s="174"/>
      <c r="L163" s="174"/>
      <c r="M163" s="174"/>
      <c r="N163" s="174"/>
      <c r="O163" s="175"/>
      <c r="V163" s="72"/>
    </row>
    <row r="164" spans="2:22" s="67" customFormat="1" ht="15.75">
      <c r="B164" s="167"/>
      <c r="C164" s="176"/>
      <c r="D164" s="176"/>
      <c r="E164" s="177"/>
      <c r="F164" s="174"/>
      <c r="G164" s="174"/>
      <c r="H164" s="174"/>
      <c r="I164" s="174"/>
      <c r="J164" s="174"/>
      <c r="K164" s="174"/>
      <c r="L164" s="174"/>
      <c r="M164" s="174"/>
      <c r="N164" s="174"/>
      <c r="O164" s="178"/>
      <c r="V164" s="72"/>
    </row>
    <row r="165" spans="1:22" s="67" customFormat="1" ht="15.75">
      <c r="A165" s="173"/>
      <c r="B165" s="173"/>
      <c r="C165" s="173"/>
      <c r="D165" s="173"/>
      <c r="E165" s="167"/>
      <c r="F165" s="174"/>
      <c r="G165" s="174"/>
      <c r="H165" s="174"/>
      <c r="I165" s="174"/>
      <c r="J165" s="174"/>
      <c r="K165" s="174"/>
      <c r="L165" s="174"/>
      <c r="M165" s="174"/>
      <c r="N165" s="174"/>
      <c r="O165" s="175"/>
      <c r="V165" s="72"/>
    </row>
    <row r="166" spans="1:22" s="67" customFormat="1" ht="15.75">
      <c r="A166" s="172"/>
      <c r="B166" s="172"/>
      <c r="C166" s="172"/>
      <c r="D166" s="172"/>
      <c r="E166" s="169"/>
      <c r="F166" s="159"/>
      <c r="G166" s="159"/>
      <c r="H166" s="159"/>
      <c r="I166" s="159"/>
      <c r="J166" s="159"/>
      <c r="K166" s="159"/>
      <c r="L166" s="159"/>
      <c r="M166" s="159"/>
      <c r="N166" s="159"/>
      <c r="O166" s="171"/>
      <c r="V166" s="72"/>
    </row>
    <row r="167" spans="1:22" s="67" customFormat="1" ht="15.75">
      <c r="A167" s="172"/>
      <c r="B167" s="172"/>
      <c r="C167" s="172"/>
      <c r="D167" s="172"/>
      <c r="E167" s="167"/>
      <c r="F167" s="159"/>
      <c r="G167" s="159"/>
      <c r="H167" s="159"/>
      <c r="I167" s="159"/>
      <c r="J167" s="159"/>
      <c r="K167" s="159"/>
      <c r="L167" s="159"/>
      <c r="M167" s="159"/>
      <c r="N167" s="159"/>
      <c r="O167" s="171"/>
      <c r="V167" s="72"/>
    </row>
    <row r="168" spans="1:22" s="67" customFormat="1" ht="15.75">
      <c r="A168" s="172"/>
      <c r="B168" s="172"/>
      <c r="C168" s="172"/>
      <c r="D168" s="172"/>
      <c r="E168" s="167"/>
      <c r="F168" s="159"/>
      <c r="G168" s="159"/>
      <c r="H168" s="159"/>
      <c r="I168" s="159"/>
      <c r="J168" s="159"/>
      <c r="K168" s="159"/>
      <c r="L168" s="159"/>
      <c r="M168" s="159"/>
      <c r="N168" s="159"/>
      <c r="O168" s="171"/>
      <c r="V168" s="72"/>
    </row>
    <row r="169" spans="1:22" s="67" customFormat="1" ht="15.75">
      <c r="A169" s="172"/>
      <c r="B169" s="172"/>
      <c r="C169" s="172"/>
      <c r="D169" s="172"/>
      <c r="E169" s="167"/>
      <c r="F169" s="159"/>
      <c r="G169" s="159"/>
      <c r="H169" s="159"/>
      <c r="I169" s="159"/>
      <c r="J169" s="159"/>
      <c r="K169" s="159"/>
      <c r="L169" s="159"/>
      <c r="M169" s="159"/>
      <c r="N169" s="159"/>
      <c r="O169" s="171"/>
      <c r="V169" s="72"/>
    </row>
    <row r="170" spans="1:22" s="67" customFormat="1" ht="15.75">
      <c r="A170" s="172"/>
      <c r="B170" s="172"/>
      <c r="C170" s="172"/>
      <c r="D170" s="172"/>
      <c r="E170" s="167"/>
      <c r="F170" s="159"/>
      <c r="G170" s="159"/>
      <c r="H170" s="159"/>
      <c r="I170" s="159"/>
      <c r="J170" s="159"/>
      <c r="K170" s="159"/>
      <c r="L170" s="159"/>
      <c r="M170" s="159"/>
      <c r="N170" s="159"/>
      <c r="O170" s="171"/>
      <c r="V170" s="72"/>
    </row>
    <row r="171" spans="1:22" s="67" customFormat="1" ht="15.75">
      <c r="A171" s="172"/>
      <c r="B171" s="172"/>
      <c r="C171" s="172"/>
      <c r="D171" s="172"/>
      <c r="E171" s="167"/>
      <c r="F171" s="159"/>
      <c r="G171" s="159"/>
      <c r="H171" s="159"/>
      <c r="I171" s="159"/>
      <c r="J171" s="159"/>
      <c r="K171" s="159"/>
      <c r="L171" s="159"/>
      <c r="M171" s="159"/>
      <c r="N171" s="159"/>
      <c r="O171" s="171"/>
      <c r="V171" s="72"/>
    </row>
    <row r="172" spans="1:22" s="67" customFormat="1" ht="15.75">
      <c r="A172" s="172"/>
      <c r="B172" s="172"/>
      <c r="C172" s="172"/>
      <c r="D172" s="172"/>
      <c r="E172" s="167"/>
      <c r="F172" s="159"/>
      <c r="G172" s="159"/>
      <c r="H172" s="159"/>
      <c r="I172" s="159"/>
      <c r="J172" s="159"/>
      <c r="K172" s="159"/>
      <c r="L172" s="159"/>
      <c r="M172" s="159"/>
      <c r="N172" s="159"/>
      <c r="O172" s="171"/>
      <c r="V172" s="72"/>
    </row>
    <row r="173" ht="15.75">
      <c r="E173" s="167"/>
    </row>
    <row r="174" ht="15.75">
      <c r="E174" s="167"/>
    </row>
    <row r="175" ht="15.75">
      <c r="E175" s="167"/>
    </row>
    <row r="176" ht="15.75">
      <c r="E176" s="167"/>
    </row>
    <row r="177" ht="15.75">
      <c r="E177" s="167"/>
    </row>
    <row r="178" ht="15.75">
      <c r="E178" s="167"/>
    </row>
    <row r="179" ht="15.75">
      <c r="E179" s="167"/>
    </row>
    <row r="180" ht="15.75">
      <c r="E180" s="167"/>
    </row>
    <row r="181" ht="15.75">
      <c r="E181" s="167"/>
    </row>
    <row r="182" ht="15.75">
      <c r="E182" s="167"/>
    </row>
    <row r="183" ht="15.75">
      <c r="E183" s="167"/>
    </row>
    <row r="184" ht="15.75">
      <c r="E184" s="167"/>
    </row>
    <row r="185" ht="15.75">
      <c r="E185" s="167"/>
    </row>
    <row r="186" ht="15.75">
      <c r="E186" s="167"/>
    </row>
    <row r="187" ht="15.75">
      <c r="E187" s="167"/>
    </row>
    <row r="188" ht="15.75">
      <c r="E188" s="167"/>
    </row>
    <row r="189" ht="15.75">
      <c r="E189" s="167"/>
    </row>
    <row r="190" ht="15.75">
      <c r="E190" s="167"/>
    </row>
  </sheetData>
  <printOptions/>
  <pageMargins left="0.82" right="0.17" top="1.07" bottom="0.82" header="0.73" footer="0.18"/>
  <pageSetup firstPageNumber="4" useFirstPageNumber="1" horizontalDpi="600" verticalDpi="600" orientation="landscape" paperSize="9" scale="70" r:id="rId2"/>
  <headerFooter alignWithMargins="0">
    <oddHeader>&amp;C&amp;"Arial,Tučné"&amp;12Schválený rozpočet investičních akcí na rok 2009 - individuální příslib&amp;RPříloha č. 8</oddHeader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D27" sqref="D27"/>
    </sheetView>
  </sheetViews>
  <sheetFormatPr defaultColWidth="9.00390625" defaultRowHeight="12.75" outlineLevelCol="1"/>
  <cols>
    <col min="1" max="4" width="6.75390625" style="72" customWidth="1"/>
    <col min="5" max="5" width="52.625" style="260" customWidth="1"/>
    <col min="6" max="6" width="17.375" style="72" customWidth="1"/>
    <col min="7" max="7" width="14.75390625" style="72" hidden="1" customWidth="1" outlineLevel="1"/>
    <col min="8" max="8" width="16.25390625" style="72" hidden="1" customWidth="1" outlineLevel="1"/>
    <col min="9" max="9" width="15.875" style="72" hidden="1" customWidth="1" collapsed="1"/>
    <col min="10" max="10" width="15.875" style="72" customWidth="1"/>
    <col min="11" max="11" width="14.75390625" style="72" customWidth="1" outlineLevel="1"/>
    <col min="12" max="12" width="8.00390625" style="72" customWidth="1" outlineLevel="1"/>
    <col min="13" max="13" width="12.875" style="72" hidden="1" customWidth="1" outlineLevel="1"/>
    <col min="14" max="14" width="12.25390625" style="72" hidden="1" customWidth="1" outlineLevel="1"/>
    <col min="15" max="15" width="21.25390625" style="259" customWidth="1" collapsed="1"/>
    <col min="16" max="16384" width="9.125" style="72" customWidth="1"/>
  </cols>
  <sheetData>
    <row r="1" spans="1:15" s="57" customFormat="1" ht="48.75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451</v>
      </c>
      <c r="G1" s="56" t="s">
        <v>452</v>
      </c>
      <c r="H1" s="56" t="s">
        <v>328</v>
      </c>
      <c r="I1" s="56" t="s">
        <v>453</v>
      </c>
      <c r="J1" s="56" t="s">
        <v>1163</v>
      </c>
      <c r="K1" s="56" t="s">
        <v>1164</v>
      </c>
      <c r="L1" s="56" t="s">
        <v>976</v>
      </c>
      <c r="M1" s="56" t="s">
        <v>276</v>
      </c>
      <c r="N1" s="56" t="s">
        <v>977</v>
      </c>
      <c r="O1" s="56" t="s">
        <v>327</v>
      </c>
    </row>
    <row r="2" s="234" customFormat="1" ht="27" customHeight="1">
      <c r="A2" s="234" t="s">
        <v>1038</v>
      </c>
    </row>
    <row r="3" spans="1:15" ht="15.75" customHeight="1">
      <c r="A3" s="235">
        <v>4917</v>
      </c>
      <c r="B3" s="235">
        <v>3636</v>
      </c>
      <c r="C3" s="235">
        <v>6119</v>
      </c>
      <c r="D3" s="235">
        <v>1</v>
      </c>
      <c r="E3" s="236" t="s">
        <v>1039</v>
      </c>
      <c r="F3" s="237">
        <v>200</v>
      </c>
      <c r="G3" s="238">
        <v>100000</v>
      </c>
      <c r="H3" s="239"/>
      <c r="I3" s="238">
        <f aca="true" t="shared" si="0" ref="I3:I23">G3+H3</f>
        <v>100000</v>
      </c>
      <c r="J3" s="238">
        <v>0</v>
      </c>
      <c r="K3" s="240"/>
      <c r="L3" s="240"/>
      <c r="M3" s="240"/>
      <c r="N3" s="240">
        <f aca="true" t="shared" si="1" ref="N3:N23">I3-M3</f>
        <v>100000</v>
      </c>
      <c r="O3" s="241"/>
    </row>
    <row r="4" spans="1:15" ht="15.75" customHeight="1">
      <c r="A4" s="235">
        <v>4918</v>
      </c>
      <c r="B4" s="235">
        <v>3636</v>
      </c>
      <c r="C4" s="235">
        <v>6119</v>
      </c>
      <c r="D4" s="235">
        <v>2</v>
      </c>
      <c r="E4" s="236" t="s">
        <v>799</v>
      </c>
      <c r="F4" s="237">
        <v>250</v>
      </c>
      <c r="G4" s="238">
        <v>160000</v>
      </c>
      <c r="H4" s="239"/>
      <c r="I4" s="238">
        <f t="shared" si="0"/>
        <v>160000</v>
      </c>
      <c r="J4" s="238">
        <f>N4-158270</f>
        <v>1730</v>
      </c>
      <c r="K4" s="240"/>
      <c r="L4" s="240"/>
      <c r="M4" s="240"/>
      <c r="N4" s="240">
        <f t="shared" si="1"/>
        <v>160000</v>
      </c>
      <c r="O4" s="241"/>
    </row>
    <row r="5" spans="1:15" ht="15.75" customHeight="1">
      <c r="A5" s="242">
        <v>4919</v>
      </c>
      <c r="B5" s="242">
        <v>3636</v>
      </c>
      <c r="C5" s="242">
        <v>6119</v>
      </c>
      <c r="D5" s="235">
        <v>3</v>
      </c>
      <c r="E5" s="243" t="s">
        <v>1040</v>
      </c>
      <c r="F5" s="244">
        <v>250</v>
      </c>
      <c r="G5" s="238">
        <v>0</v>
      </c>
      <c r="H5" s="245"/>
      <c r="I5" s="238">
        <f t="shared" si="0"/>
        <v>0</v>
      </c>
      <c r="J5" s="238">
        <f>N5</f>
        <v>0</v>
      </c>
      <c r="K5" s="246"/>
      <c r="L5" s="240"/>
      <c r="M5" s="246"/>
      <c r="N5" s="240">
        <f t="shared" si="1"/>
        <v>0</v>
      </c>
      <c r="O5" s="247"/>
    </row>
    <row r="6" spans="1:15" ht="15.75" customHeight="1">
      <c r="A6" s="235">
        <v>4834</v>
      </c>
      <c r="B6" s="235">
        <v>3636</v>
      </c>
      <c r="C6" s="235">
        <v>6119</v>
      </c>
      <c r="D6" s="235">
        <v>4</v>
      </c>
      <c r="E6" s="236" t="s">
        <v>1041</v>
      </c>
      <c r="F6" s="237">
        <v>200</v>
      </c>
      <c r="G6" s="238">
        <v>370000</v>
      </c>
      <c r="H6" s="239"/>
      <c r="I6" s="238">
        <f t="shared" si="0"/>
        <v>370000</v>
      </c>
      <c r="J6" s="238">
        <f>N6-189700</f>
        <v>180300</v>
      </c>
      <c r="K6" s="238">
        <v>147644.49</v>
      </c>
      <c r="L6" s="238">
        <f>K6/J6*100</f>
        <v>81.88823627287853</v>
      </c>
      <c r="M6" s="240"/>
      <c r="N6" s="240">
        <f t="shared" si="1"/>
        <v>370000</v>
      </c>
      <c r="O6" s="241"/>
    </row>
    <row r="7" spans="1:15" ht="15.75" customHeight="1">
      <c r="A7" s="235">
        <v>4763</v>
      </c>
      <c r="B7" s="235">
        <v>3636</v>
      </c>
      <c r="C7" s="235">
        <v>6119</v>
      </c>
      <c r="D7" s="235">
        <v>5</v>
      </c>
      <c r="E7" s="236" t="s">
        <v>1037</v>
      </c>
      <c r="F7" s="237">
        <v>150</v>
      </c>
      <c r="G7" s="238">
        <v>0</v>
      </c>
      <c r="H7" s="239"/>
      <c r="I7" s="238">
        <f t="shared" si="0"/>
        <v>0</v>
      </c>
      <c r="J7" s="238">
        <f>N7</f>
        <v>0</v>
      </c>
      <c r="K7" s="238"/>
      <c r="L7" s="238"/>
      <c r="M7" s="240"/>
      <c r="N7" s="240">
        <f t="shared" si="1"/>
        <v>0</v>
      </c>
      <c r="O7" s="241"/>
    </row>
    <row r="8" spans="1:15" ht="15.75" customHeight="1">
      <c r="A8" s="235">
        <v>4921</v>
      </c>
      <c r="B8" s="235">
        <v>3636</v>
      </c>
      <c r="C8" s="235">
        <v>6119</v>
      </c>
      <c r="D8" s="235">
        <v>6</v>
      </c>
      <c r="E8" s="236" t="s">
        <v>1042</v>
      </c>
      <c r="F8" s="237">
        <v>200</v>
      </c>
      <c r="G8" s="238">
        <v>160000</v>
      </c>
      <c r="H8" s="239"/>
      <c r="I8" s="238">
        <f t="shared" si="0"/>
        <v>160000</v>
      </c>
      <c r="J8" s="238">
        <v>0</v>
      </c>
      <c r="K8" s="238"/>
      <c r="L8" s="238"/>
      <c r="M8" s="240"/>
      <c r="N8" s="240">
        <f t="shared" si="1"/>
        <v>160000</v>
      </c>
      <c r="O8" s="241"/>
    </row>
    <row r="9" spans="1:15" ht="15.75" customHeight="1">
      <c r="A9" s="235">
        <v>4832</v>
      </c>
      <c r="B9" s="235">
        <v>3636</v>
      </c>
      <c r="C9" s="235">
        <v>6119</v>
      </c>
      <c r="D9" s="235">
        <v>7</v>
      </c>
      <c r="E9" s="236" t="s">
        <v>580</v>
      </c>
      <c r="F9" s="237">
        <v>200</v>
      </c>
      <c r="G9" s="238">
        <v>0</v>
      </c>
      <c r="H9" s="239"/>
      <c r="I9" s="238">
        <f t="shared" si="0"/>
        <v>0</v>
      </c>
      <c r="J9" s="238">
        <f>N9</f>
        <v>0</v>
      </c>
      <c r="K9" s="238"/>
      <c r="L9" s="238"/>
      <c r="M9" s="240"/>
      <c r="N9" s="240">
        <f t="shared" si="1"/>
        <v>0</v>
      </c>
      <c r="O9" s="241"/>
    </row>
    <row r="10" spans="1:15" ht="15.75" customHeight="1">
      <c r="A10" s="235">
        <v>4833</v>
      </c>
      <c r="B10" s="235">
        <v>3636</v>
      </c>
      <c r="C10" s="235">
        <v>6119</v>
      </c>
      <c r="D10" s="235">
        <v>8</v>
      </c>
      <c r="E10" s="236" t="s">
        <v>581</v>
      </c>
      <c r="F10" s="237">
        <v>100</v>
      </c>
      <c r="G10" s="238">
        <v>0</v>
      </c>
      <c r="H10" s="239"/>
      <c r="I10" s="238">
        <f t="shared" si="0"/>
        <v>0</v>
      </c>
      <c r="J10" s="238">
        <f>N10</f>
        <v>0</v>
      </c>
      <c r="K10" s="238"/>
      <c r="L10" s="238"/>
      <c r="M10" s="240"/>
      <c r="N10" s="240">
        <f t="shared" si="1"/>
        <v>0</v>
      </c>
      <c r="O10" s="241"/>
    </row>
    <row r="11" spans="1:15" ht="25.5" customHeight="1">
      <c r="A11" s="235">
        <v>4455</v>
      </c>
      <c r="B11" s="235">
        <v>3636</v>
      </c>
      <c r="C11" s="235">
        <v>6119</v>
      </c>
      <c r="D11" s="235">
        <v>9</v>
      </c>
      <c r="E11" s="402" t="s">
        <v>138</v>
      </c>
      <c r="F11" s="237">
        <v>100</v>
      </c>
      <c r="G11" s="238">
        <v>135660</v>
      </c>
      <c r="H11" s="239"/>
      <c r="I11" s="238">
        <f t="shared" si="0"/>
        <v>135660</v>
      </c>
      <c r="J11" s="238">
        <v>0</v>
      </c>
      <c r="K11" s="238"/>
      <c r="L11" s="238"/>
      <c r="M11" s="238"/>
      <c r="N11" s="238">
        <f t="shared" si="1"/>
        <v>135660</v>
      </c>
      <c r="O11" s="241"/>
    </row>
    <row r="12" spans="1:15" ht="15.75" customHeight="1">
      <c r="A12" s="235">
        <v>4923</v>
      </c>
      <c r="B12" s="235">
        <v>3636</v>
      </c>
      <c r="C12" s="235">
        <v>6119</v>
      </c>
      <c r="D12" s="235">
        <v>10</v>
      </c>
      <c r="E12" s="236" t="s">
        <v>582</v>
      </c>
      <c r="F12" s="248">
        <v>200</v>
      </c>
      <c r="G12" s="238">
        <v>200000</v>
      </c>
      <c r="H12" s="248"/>
      <c r="I12" s="238">
        <f t="shared" si="0"/>
        <v>200000</v>
      </c>
      <c r="J12" s="238">
        <v>0</v>
      </c>
      <c r="K12" s="238"/>
      <c r="L12" s="238"/>
      <c r="M12" s="240"/>
      <c r="N12" s="240">
        <f t="shared" si="1"/>
        <v>200000</v>
      </c>
      <c r="O12" s="241"/>
    </row>
    <row r="13" spans="1:15" ht="15.75" customHeight="1">
      <c r="A13" s="235">
        <v>4952</v>
      </c>
      <c r="B13" s="235">
        <v>3636</v>
      </c>
      <c r="C13" s="235">
        <v>6119</v>
      </c>
      <c r="D13" s="235">
        <v>11</v>
      </c>
      <c r="E13" s="249" t="s">
        <v>987</v>
      </c>
      <c r="F13" s="248">
        <v>150</v>
      </c>
      <c r="G13" s="238">
        <v>150000</v>
      </c>
      <c r="H13" s="248"/>
      <c r="I13" s="238">
        <f t="shared" si="0"/>
        <v>150000</v>
      </c>
      <c r="J13" s="238">
        <f>N13</f>
        <v>0</v>
      </c>
      <c r="K13" s="238"/>
      <c r="L13" s="238"/>
      <c r="M13" s="240">
        <v>150000</v>
      </c>
      <c r="N13" s="240">
        <f t="shared" si="1"/>
        <v>0</v>
      </c>
      <c r="O13" s="241"/>
    </row>
    <row r="14" spans="1:15" ht="15.75" customHeight="1">
      <c r="A14" s="235">
        <v>4951</v>
      </c>
      <c r="B14" s="235">
        <v>3636</v>
      </c>
      <c r="C14" s="235">
        <v>6119</v>
      </c>
      <c r="D14" s="235">
        <v>12</v>
      </c>
      <c r="E14" s="249" t="s">
        <v>988</v>
      </c>
      <c r="F14" s="248">
        <v>200</v>
      </c>
      <c r="G14" s="238">
        <v>200000</v>
      </c>
      <c r="H14" s="248"/>
      <c r="I14" s="238">
        <f t="shared" si="0"/>
        <v>200000</v>
      </c>
      <c r="J14" s="238">
        <f>N14</f>
        <v>0</v>
      </c>
      <c r="K14" s="238"/>
      <c r="L14" s="238"/>
      <c r="M14" s="240">
        <v>200000</v>
      </c>
      <c r="N14" s="240">
        <f t="shared" si="1"/>
        <v>0</v>
      </c>
      <c r="O14" s="241"/>
    </row>
    <row r="15" spans="1:15" ht="15.75" customHeight="1">
      <c r="A15" s="235">
        <v>4924</v>
      </c>
      <c r="B15" s="235">
        <v>3636</v>
      </c>
      <c r="C15" s="235">
        <v>6119</v>
      </c>
      <c r="D15" s="235">
        <v>13</v>
      </c>
      <c r="E15" s="236" t="s">
        <v>989</v>
      </c>
      <c r="F15" s="237">
        <v>100</v>
      </c>
      <c r="G15" s="238">
        <v>1503330</v>
      </c>
      <c r="H15" s="239"/>
      <c r="I15" s="238">
        <f t="shared" si="0"/>
        <v>1503330</v>
      </c>
      <c r="J15" s="238">
        <f>N15-1333000</f>
        <v>70330</v>
      </c>
      <c r="K15" s="238"/>
      <c r="L15" s="238"/>
      <c r="M15" s="240">
        <v>100000</v>
      </c>
      <c r="N15" s="240">
        <f t="shared" si="1"/>
        <v>1403330</v>
      </c>
      <c r="O15" s="241"/>
    </row>
    <row r="16" spans="1:15" ht="15.75" customHeight="1">
      <c r="A16" s="235">
        <v>4925</v>
      </c>
      <c r="B16" s="235">
        <v>3636</v>
      </c>
      <c r="C16" s="235">
        <v>6119</v>
      </c>
      <c r="D16" s="235">
        <v>14</v>
      </c>
      <c r="E16" s="236" t="s">
        <v>990</v>
      </c>
      <c r="F16" s="237">
        <v>150</v>
      </c>
      <c r="G16" s="238">
        <v>119000</v>
      </c>
      <c r="H16" s="239"/>
      <c r="I16" s="238">
        <f t="shared" si="0"/>
        <v>119000</v>
      </c>
      <c r="J16" s="238">
        <v>0</v>
      </c>
      <c r="K16" s="238"/>
      <c r="L16" s="238"/>
      <c r="M16" s="240"/>
      <c r="N16" s="240">
        <f t="shared" si="1"/>
        <v>119000</v>
      </c>
      <c r="O16" s="241"/>
    </row>
    <row r="17" spans="1:15" ht="15.75" customHeight="1">
      <c r="A17" s="235">
        <v>4711</v>
      </c>
      <c r="B17" s="235">
        <v>3636</v>
      </c>
      <c r="C17" s="235">
        <v>6119</v>
      </c>
      <c r="D17" s="235">
        <v>15</v>
      </c>
      <c r="E17" s="236" t="s">
        <v>991</v>
      </c>
      <c r="F17" s="250">
        <v>50</v>
      </c>
      <c r="G17" s="238">
        <v>1950000</v>
      </c>
      <c r="H17" s="239"/>
      <c r="I17" s="238">
        <f t="shared" si="0"/>
        <v>1950000</v>
      </c>
      <c r="J17" s="238">
        <f>N17</f>
        <v>0</v>
      </c>
      <c r="K17" s="238"/>
      <c r="L17" s="238"/>
      <c r="M17" s="240">
        <v>1950000</v>
      </c>
      <c r="N17" s="240">
        <f t="shared" si="1"/>
        <v>0</v>
      </c>
      <c r="O17" s="241"/>
    </row>
    <row r="18" spans="1:15" ht="15.75" customHeight="1">
      <c r="A18" s="235">
        <v>4519</v>
      </c>
      <c r="B18" s="235">
        <v>3636</v>
      </c>
      <c r="C18" s="235">
        <v>6119</v>
      </c>
      <c r="D18" s="235">
        <v>16</v>
      </c>
      <c r="E18" s="249" t="s">
        <v>992</v>
      </c>
      <c r="F18" s="248">
        <v>100</v>
      </c>
      <c r="G18" s="238">
        <v>100000</v>
      </c>
      <c r="H18" s="238"/>
      <c r="I18" s="238">
        <f t="shared" si="0"/>
        <v>100000</v>
      </c>
      <c r="J18" s="238">
        <f>N18</f>
        <v>0</v>
      </c>
      <c r="K18" s="238"/>
      <c r="L18" s="238"/>
      <c r="M18" s="240">
        <v>100000</v>
      </c>
      <c r="N18" s="240">
        <f t="shared" si="1"/>
        <v>0</v>
      </c>
      <c r="O18" s="241"/>
    </row>
    <row r="19" spans="1:15" ht="15.75" customHeight="1">
      <c r="A19" s="235">
        <v>4927</v>
      </c>
      <c r="B19" s="235">
        <v>3636</v>
      </c>
      <c r="C19" s="235">
        <v>6119</v>
      </c>
      <c r="D19" s="235">
        <v>17</v>
      </c>
      <c r="E19" s="236" t="s">
        <v>993</v>
      </c>
      <c r="F19" s="237">
        <v>100</v>
      </c>
      <c r="G19" s="238">
        <v>119000</v>
      </c>
      <c r="H19" s="239"/>
      <c r="I19" s="238">
        <f t="shared" si="0"/>
        <v>119000</v>
      </c>
      <c r="J19" s="238">
        <v>80000</v>
      </c>
      <c r="K19" s="238"/>
      <c r="L19" s="238"/>
      <c r="M19" s="240"/>
      <c r="N19" s="240">
        <f t="shared" si="1"/>
        <v>119000</v>
      </c>
      <c r="O19" s="241"/>
    </row>
    <row r="20" spans="1:17" ht="15.75" customHeight="1">
      <c r="A20" s="235">
        <v>4928</v>
      </c>
      <c r="B20" s="235">
        <v>3636</v>
      </c>
      <c r="C20" s="235">
        <v>6119</v>
      </c>
      <c r="D20" s="235">
        <v>18</v>
      </c>
      <c r="E20" s="236" t="s">
        <v>994</v>
      </c>
      <c r="F20" s="237">
        <v>60</v>
      </c>
      <c r="G20" s="238">
        <v>0</v>
      </c>
      <c r="H20" s="239"/>
      <c r="I20" s="238">
        <f t="shared" si="0"/>
        <v>0</v>
      </c>
      <c r="J20" s="238">
        <f>N20</f>
        <v>0</v>
      </c>
      <c r="K20" s="238"/>
      <c r="L20" s="238"/>
      <c r="M20" s="240"/>
      <c r="N20" s="240">
        <f t="shared" si="1"/>
        <v>0</v>
      </c>
      <c r="O20" s="241"/>
      <c r="P20" s="1219"/>
      <c r="Q20" s="1220"/>
    </row>
    <row r="21" spans="1:17" ht="15.75" customHeight="1">
      <c r="A21" s="235">
        <v>4929</v>
      </c>
      <c r="B21" s="235">
        <v>3636</v>
      </c>
      <c r="C21" s="235">
        <v>6119</v>
      </c>
      <c r="D21" s="235">
        <v>19</v>
      </c>
      <c r="E21" s="236" t="s">
        <v>995</v>
      </c>
      <c r="F21" s="237">
        <v>80</v>
      </c>
      <c r="G21" s="238">
        <v>77350</v>
      </c>
      <c r="H21" s="239"/>
      <c r="I21" s="238">
        <f t="shared" si="0"/>
        <v>77350</v>
      </c>
      <c r="J21" s="238">
        <v>0</v>
      </c>
      <c r="K21" s="238"/>
      <c r="L21" s="238"/>
      <c r="M21" s="240"/>
      <c r="N21" s="240">
        <f t="shared" si="1"/>
        <v>77350</v>
      </c>
      <c r="O21" s="241"/>
      <c r="P21" s="1219"/>
      <c r="Q21" s="1220"/>
    </row>
    <row r="22" spans="1:15" ht="15.75" customHeight="1">
      <c r="A22" s="235">
        <v>4930</v>
      </c>
      <c r="B22" s="235">
        <v>3636</v>
      </c>
      <c r="C22" s="235">
        <v>6119</v>
      </c>
      <c r="D22" s="235">
        <v>20</v>
      </c>
      <c r="E22" s="236" t="s">
        <v>996</v>
      </c>
      <c r="F22" s="237">
        <v>80</v>
      </c>
      <c r="G22" s="238">
        <v>0</v>
      </c>
      <c r="H22" s="239"/>
      <c r="I22" s="238">
        <f t="shared" si="0"/>
        <v>0</v>
      </c>
      <c r="J22" s="238">
        <f>N22</f>
        <v>0</v>
      </c>
      <c r="K22" s="240"/>
      <c r="L22" s="240"/>
      <c r="M22" s="240"/>
      <c r="N22" s="240">
        <f t="shared" si="1"/>
        <v>0</v>
      </c>
      <c r="O22" s="241"/>
    </row>
    <row r="23" spans="1:15" ht="15.75" customHeight="1" thickBot="1">
      <c r="A23" s="242">
        <v>4931</v>
      </c>
      <c r="B23" s="242">
        <v>3636</v>
      </c>
      <c r="C23" s="242">
        <v>6119</v>
      </c>
      <c r="D23" s="235">
        <v>21</v>
      </c>
      <c r="E23" s="243" t="s">
        <v>997</v>
      </c>
      <c r="F23" s="244">
        <v>80</v>
      </c>
      <c r="G23" s="238">
        <v>0</v>
      </c>
      <c r="H23" s="245"/>
      <c r="I23" s="238">
        <f t="shared" si="0"/>
        <v>0</v>
      </c>
      <c r="J23" s="238">
        <f>N23</f>
        <v>0</v>
      </c>
      <c r="K23" s="246"/>
      <c r="L23" s="246"/>
      <c r="M23" s="246"/>
      <c r="N23" s="240">
        <f t="shared" si="1"/>
        <v>0</v>
      </c>
      <c r="O23" s="251"/>
    </row>
    <row r="24" spans="4:15" s="156" customFormat="1" ht="15.75" customHeight="1" thickBot="1">
      <c r="D24" s="252"/>
      <c r="E24" s="253" t="s">
        <v>335</v>
      </c>
      <c r="F24" s="254">
        <f aca="true" t="shared" si="2" ref="F24:K24">SUM(F3:F23)</f>
        <v>3000</v>
      </c>
      <c r="G24" s="254">
        <f t="shared" si="2"/>
        <v>5344340</v>
      </c>
      <c r="H24" s="254">
        <f t="shared" si="2"/>
        <v>0</v>
      </c>
      <c r="I24" s="254">
        <f t="shared" si="2"/>
        <v>5344340</v>
      </c>
      <c r="J24" s="255">
        <f t="shared" si="2"/>
        <v>332360</v>
      </c>
      <c r="K24" s="255">
        <f t="shared" si="2"/>
        <v>147644.49</v>
      </c>
      <c r="L24" s="256">
        <f>K24/J24*100</f>
        <v>44.42306234203875</v>
      </c>
      <c r="M24" s="256">
        <f>SUM(M3:M23)</f>
        <v>2500000</v>
      </c>
      <c r="N24" s="256">
        <f>SUM(N3:N23)</f>
        <v>2844340</v>
      </c>
      <c r="O24" s="257"/>
    </row>
    <row r="37" ht="12.75">
      <c r="E37" s="258"/>
    </row>
  </sheetData>
  <mergeCells count="1">
    <mergeCell ref="P20:Q21"/>
  </mergeCells>
  <printOptions/>
  <pageMargins left="1" right="0.17" top="1.3" bottom="1" header="0.85" footer="0.4921259845"/>
  <pageSetup horizontalDpi="600" verticalDpi="600" orientation="landscape" paperSize="9" scale="80" r:id="rId1"/>
  <headerFooter alignWithMargins="0">
    <oddHeader>&amp;C&amp;"Arial,Tučné"&amp;12Schválený rozpočet investičních akcí na rok 2009 - individuální příslib&amp;RPříloha č. 8</oddHeader>
    <oddFooter>&amp;C8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G29"/>
  <sheetViews>
    <sheetView workbookViewId="0" topLeftCell="A1">
      <selection activeCell="D20" sqref="D20"/>
    </sheetView>
  </sheetViews>
  <sheetFormatPr defaultColWidth="9.00390625" defaultRowHeight="12.75" outlineLevelCol="1"/>
  <cols>
    <col min="1" max="4" width="6.75390625" style="287" customWidth="1"/>
    <col min="5" max="5" width="56.75390625" style="287" customWidth="1"/>
    <col min="6" max="6" width="16.75390625" style="288" customWidth="1"/>
    <col min="7" max="7" width="15.875" style="288" hidden="1" customWidth="1" outlineLevel="1"/>
    <col min="8" max="8" width="14.25390625" style="288" hidden="1" customWidth="1" outlineLevel="1"/>
    <col min="9" max="9" width="16.125" style="288" hidden="1" customWidth="1" collapsed="1"/>
    <col min="10" max="10" width="16.125" style="288" customWidth="1"/>
    <col min="11" max="11" width="16.125" style="288" customWidth="1" outlineLevel="1"/>
    <col min="12" max="12" width="9.25390625" style="288" customWidth="1" outlineLevel="1"/>
    <col min="13" max="13" width="12.625" style="288" hidden="1" customWidth="1" outlineLevel="1"/>
    <col min="14" max="14" width="12.75390625" style="288" hidden="1" customWidth="1" outlineLevel="1"/>
    <col min="15" max="15" width="25.875" style="287" customWidth="1" collapsed="1"/>
    <col min="16" max="16" width="29.25390625" style="287" customWidth="1"/>
    <col min="17" max="17" width="5.75390625" style="267" customWidth="1"/>
    <col min="18" max="18" width="9.125" style="267" hidden="1" customWidth="1"/>
    <col min="19" max="16384" width="9.125" style="267" customWidth="1"/>
  </cols>
  <sheetData>
    <row r="1" spans="1:15" s="57" customFormat="1" ht="54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998</v>
      </c>
      <c r="G1" s="56" t="s">
        <v>999</v>
      </c>
      <c r="H1" s="56" t="s">
        <v>1000</v>
      </c>
      <c r="I1" s="56" t="s">
        <v>1001</v>
      </c>
      <c r="J1" s="56" t="s">
        <v>0</v>
      </c>
      <c r="K1" s="56" t="s">
        <v>1</v>
      </c>
      <c r="L1" s="56" t="s">
        <v>329</v>
      </c>
      <c r="M1" s="56" t="s">
        <v>276</v>
      </c>
      <c r="N1" s="56" t="s">
        <v>977</v>
      </c>
      <c r="O1" s="55" t="s">
        <v>327</v>
      </c>
    </row>
    <row r="2" s="261" customFormat="1" ht="27" customHeight="1">
      <c r="A2" s="261" t="s">
        <v>1002</v>
      </c>
    </row>
    <row r="3" spans="1:16" ht="15.75" customHeight="1">
      <c r="A3" s="262">
        <v>4293</v>
      </c>
      <c r="B3" s="262">
        <v>3635</v>
      </c>
      <c r="C3" s="262">
        <v>6119</v>
      </c>
      <c r="D3" s="262">
        <v>1</v>
      </c>
      <c r="E3" s="263" t="s">
        <v>1003</v>
      </c>
      <c r="F3" s="264">
        <v>480</v>
      </c>
      <c r="G3" s="265">
        <v>480000</v>
      </c>
      <c r="H3" s="265"/>
      <c r="I3" s="265">
        <f aca="true" t="shared" si="0" ref="I3:I17">G3+H3</f>
        <v>480000</v>
      </c>
      <c r="J3" s="265">
        <f aca="true" t="shared" si="1" ref="J3:J17">N3</f>
        <v>480000</v>
      </c>
      <c r="K3" s="265">
        <v>476167</v>
      </c>
      <c r="L3" s="265">
        <f>K3/J3*100</f>
        <v>99.20145833333333</v>
      </c>
      <c r="M3" s="265"/>
      <c r="N3" s="265">
        <f aca="true" t="shared" si="2" ref="N3:N17">I3-M3</f>
        <v>480000</v>
      </c>
      <c r="O3" s="266"/>
      <c r="P3" s="267"/>
    </row>
    <row r="4" spans="1:16" ht="15.75" customHeight="1">
      <c r="A4" s="268">
        <v>4913</v>
      </c>
      <c r="B4" s="268">
        <v>3635</v>
      </c>
      <c r="C4" s="268">
        <v>6119</v>
      </c>
      <c r="D4" s="262">
        <v>2</v>
      </c>
      <c r="E4" s="263" t="s">
        <v>1004</v>
      </c>
      <c r="F4" s="264">
        <v>100</v>
      </c>
      <c r="G4" s="265">
        <v>100000</v>
      </c>
      <c r="H4" s="265"/>
      <c r="I4" s="265">
        <f t="shared" si="0"/>
        <v>100000</v>
      </c>
      <c r="J4" s="265">
        <f t="shared" si="1"/>
        <v>0</v>
      </c>
      <c r="K4" s="265"/>
      <c r="L4" s="265"/>
      <c r="M4" s="265">
        <v>100000</v>
      </c>
      <c r="N4" s="265">
        <f t="shared" si="2"/>
        <v>0</v>
      </c>
      <c r="O4" s="269"/>
      <c r="P4" s="267"/>
    </row>
    <row r="5" spans="1:16" ht="15.75" customHeight="1">
      <c r="A5" s="268">
        <v>5061</v>
      </c>
      <c r="B5" s="268">
        <v>3635</v>
      </c>
      <c r="C5" s="268">
        <v>6119</v>
      </c>
      <c r="D5" s="262">
        <v>3</v>
      </c>
      <c r="E5" s="263" t="s">
        <v>1005</v>
      </c>
      <c r="F5" s="264">
        <v>0</v>
      </c>
      <c r="G5" s="265">
        <v>250000</v>
      </c>
      <c r="H5" s="265"/>
      <c r="I5" s="265">
        <f t="shared" si="0"/>
        <v>250000</v>
      </c>
      <c r="J5" s="265">
        <f t="shared" si="1"/>
        <v>250000</v>
      </c>
      <c r="K5" s="265">
        <v>250000</v>
      </c>
      <c r="L5" s="265">
        <f aca="true" t="shared" si="3" ref="L5:L12">K5/J5*100</f>
        <v>100</v>
      </c>
      <c r="M5" s="265"/>
      <c r="N5" s="265">
        <f t="shared" si="2"/>
        <v>250000</v>
      </c>
      <c r="O5" s="269"/>
      <c r="P5" s="267"/>
    </row>
    <row r="6" spans="1:16" ht="15.75" customHeight="1">
      <c r="A6" s="262">
        <v>4431</v>
      </c>
      <c r="B6" s="262">
        <v>3635</v>
      </c>
      <c r="C6" s="262">
        <v>6119</v>
      </c>
      <c r="D6" s="262">
        <v>4</v>
      </c>
      <c r="E6" s="263" t="s">
        <v>1006</v>
      </c>
      <c r="F6" s="264">
        <v>100</v>
      </c>
      <c r="G6" s="265">
        <v>100000</v>
      </c>
      <c r="H6" s="265"/>
      <c r="I6" s="265">
        <f t="shared" si="0"/>
        <v>100000</v>
      </c>
      <c r="J6" s="265">
        <f t="shared" si="1"/>
        <v>100000</v>
      </c>
      <c r="K6" s="265">
        <v>99960</v>
      </c>
      <c r="L6" s="265">
        <f t="shared" si="3"/>
        <v>99.96000000000001</v>
      </c>
      <c r="M6" s="265"/>
      <c r="N6" s="265">
        <f t="shared" si="2"/>
        <v>100000</v>
      </c>
      <c r="O6" s="270"/>
      <c r="P6" s="267"/>
    </row>
    <row r="7" spans="1:16" ht="15.75" customHeight="1">
      <c r="A7" s="262">
        <v>4836</v>
      </c>
      <c r="B7" s="262">
        <v>3635</v>
      </c>
      <c r="C7" s="262">
        <v>6119</v>
      </c>
      <c r="D7" s="262">
        <v>5</v>
      </c>
      <c r="E7" s="263" t="s">
        <v>582</v>
      </c>
      <c r="F7" s="264">
        <v>0</v>
      </c>
      <c r="G7" s="265">
        <v>63000</v>
      </c>
      <c r="H7" s="265"/>
      <c r="I7" s="265">
        <f t="shared" si="0"/>
        <v>63000</v>
      </c>
      <c r="J7" s="265">
        <f t="shared" si="1"/>
        <v>63000</v>
      </c>
      <c r="K7" s="265">
        <v>62510</v>
      </c>
      <c r="L7" s="265">
        <f t="shared" si="3"/>
        <v>99.22222222222223</v>
      </c>
      <c r="M7" s="265"/>
      <c r="N7" s="265">
        <f t="shared" si="2"/>
        <v>63000</v>
      </c>
      <c r="O7" s="270"/>
      <c r="P7" s="267"/>
    </row>
    <row r="8" spans="1:16" ht="15.75" customHeight="1">
      <c r="A8" s="268">
        <v>4914</v>
      </c>
      <c r="B8" s="268">
        <v>3635</v>
      </c>
      <c r="C8" s="268">
        <v>6119</v>
      </c>
      <c r="D8" s="262">
        <v>6</v>
      </c>
      <c r="E8" s="271" t="s">
        <v>1007</v>
      </c>
      <c r="F8" s="264">
        <v>300</v>
      </c>
      <c r="G8" s="265">
        <v>300000</v>
      </c>
      <c r="H8" s="265"/>
      <c r="I8" s="265">
        <f t="shared" si="0"/>
        <v>300000</v>
      </c>
      <c r="J8" s="265">
        <f t="shared" si="1"/>
        <v>300000</v>
      </c>
      <c r="K8" s="265">
        <v>300000</v>
      </c>
      <c r="L8" s="265">
        <f t="shared" si="3"/>
        <v>100</v>
      </c>
      <c r="M8" s="265"/>
      <c r="N8" s="265">
        <f t="shared" si="2"/>
        <v>300000</v>
      </c>
      <c r="O8" s="272"/>
      <c r="P8" s="267"/>
    </row>
    <row r="9" spans="1:16" ht="15.75" customHeight="1">
      <c r="A9" s="262">
        <v>4585</v>
      </c>
      <c r="B9" s="262">
        <v>3635</v>
      </c>
      <c r="C9" s="262">
        <v>6119</v>
      </c>
      <c r="D9" s="262">
        <v>7</v>
      </c>
      <c r="E9" s="271" t="s">
        <v>1008</v>
      </c>
      <c r="F9" s="264">
        <v>3200</v>
      </c>
      <c r="G9" s="265">
        <v>3950000</v>
      </c>
      <c r="H9" s="265">
        <v>-200000</v>
      </c>
      <c r="I9" s="265">
        <f t="shared" si="0"/>
        <v>3750000</v>
      </c>
      <c r="J9" s="265">
        <f t="shared" si="1"/>
        <v>3725000</v>
      </c>
      <c r="K9" s="265">
        <v>3724410</v>
      </c>
      <c r="L9" s="265">
        <f t="shared" si="3"/>
        <v>99.9841610738255</v>
      </c>
      <c r="M9" s="265">
        <v>25000</v>
      </c>
      <c r="N9" s="265">
        <f t="shared" si="2"/>
        <v>3725000</v>
      </c>
      <c r="O9" s="273"/>
      <c r="P9" s="267"/>
    </row>
    <row r="10" spans="1:16" ht="15.75" customHeight="1">
      <c r="A10" s="262">
        <v>4285</v>
      </c>
      <c r="B10" s="262">
        <v>3635</v>
      </c>
      <c r="C10" s="262">
        <v>6119</v>
      </c>
      <c r="D10" s="262">
        <v>8</v>
      </c>
      <c r="E10" s="271" t="s">
        <v>1009</v>
      </c>
      <c r="F10" s="264">
        <v>500</v>
      </c>
      <c r="G10" s="265">
        <v>1388895</v>
      </c>
      <c r="H10" s="265"/>
      <c r="I10" s="265">
        <f t="shared" si="0"/>
        <v>1388895</v>
      </c>
      <c r="J10" s="265">
        <f t="shared" si="1"/>
        <v>1309895</v>
      </c>
      <c r="K10" s="265">
        <v>1261269</v>
      </c>
      <c r="L10" s="265">
        <f t="shared" si="3"/>
        <v>96.28779405982922</v>
      </c>
      <c r="M10" s="265">
        <v>79000</v>
      </c>
      <c r="N10" s="265">
        <f t="shared" si="2"/>
        <v>1309895</v>
      </c>
      <c r="O10" s="274"/>
      <c r="P10" s="267"/>
    </row>
    <row r="11" spans="1:16" ht="15.75" customHeight="1">
      <c r="A11" s="262">
        <v>4298</v>
      </c>
      <c r="B11" s="262">
        <v>3635</v>
      </c>
      <c r="C11" s="262">
        <v>6119</v>
      </c>
      <c r="D11" s="262">
        <v>9</v>
      </c>
      <c r="E11" s="271" t="s">
        <v>1010</v>
      </c>
      <c r="F11" s="264">
        <v>0</v>
      </c>
      <c r="G11" s="265">
        <v>100000</v>
      </c>
      <c r="H11" s="265"/>
      <c r="I11" s="265">
        <f t="shared" si="0"/>
        <v>100000</v>
      </c>
      <c r="J11" s="265">
        <f t="shared" si="1"/>
        <v>100000</v>
      </c>
      <c r="K11" s="265">
        <v>47124</v>
      </c>
      <c r="L11" s="265">
        <f t="shared" si="3"/>
        <v>47.124</v>
      </c>
      <c r="M11" s="265"/>
      <c r="N11" s="265">
        <f t="shared" si="2"/>
        <v>100000</v>
      </c>
      <c r="O11" s="274"/>
      <c r="P11" s="267"/>
    </row>
    <row r="12" spans="1:16" ht="15.75" customHeight="1">
      <c r="A12" s="268">
        <v>4915</v>
      </c>
      <c r="B12" s="268">
        <v>3635</v>
      </c>
      <c r="C12" s="268">
        <v>6119</v>
      </c>
      <c r="D12" s="262">
        <v>10</v>
      </c>
      <c r="E12" s="271" t="s">
        <v>1011</v>
      </c>
      <c r="F12" s="264">
        <v>50</v>
      </c>
      <c r="G12" s="265">
        <v>50000</v>
      </c>
      <c r="H12" s="265"/>
      <c r="I12" s="265">
        <f t="shared" si="0"/>
        <v>50000</v>
      </c>
      <c r="J12" s="265">
        <f t="shared" si="1"/>
        <v>31000</v>
      </c>
      <c r="K12" s="265">
        <v>30345</v>
      </c>
      <c r="L12" s="265">
        <f t="shared" si="3"/>
        <v>97.88709677419355</v>
      </c>
      <c r="M12" s="265">
        <v>19000</v>
      </c>
      <c r="N12" s="265">
        <f t="shared" si="2"/>
        <v>31000</v>
      </c>
      <c r="O12" s="275"/>
      <c r="P12" s="267"/>
    </row>
    <row r="13" spans="1:16" ht="15.75" customHeight="1">
      <c r="A13" s="268">
        <v>4916</v>
      </c>
      <c r="B13" s="268">
        <v>3635</v>
      </c>
      <c r="C13" s="268">
        <v>6119</v>
      </c>
      <c r="D13" s="262">
        <v>11</v>
      </c>
      <c r="E13" s="271" t="s">
        <v>1012</v>
      </c>
      <c r="F13" s="264">
        <v>400</v>
      </c>
      <c r="G13" s="265">
        <v>400000</v>
      </c>
      <c r="H13" s="265"/>
      <c r="I13" s="265">
        <f t="shared" si="0"/>
        <v>400000</v>
      </c>
      <c r="J13" s="265">
        <f t="shared" si="1"/>
        <v>400000</v>
      </c>
      <c r="K13" s="265">
        <v>398055</v>
      </c>
      <c r="L13" s="265">
        <f>K13/J13*100</f>
        <v>99.51375</v>
      </c>
      <c r="M13" s="265"/>
      <c r="N13" s="265">
        <f t="shared" si="2"/>
        <v>400000</v>
      </c>
      <c r="O13" s="275"/>
      <c r="P13" s="267"/>
    </row>
    <row r="14" spans="1:16" ht="15.75" customHeight="1">
      <c r="A14" s="262">
        <v>4290</v>
      </c>
      <c r="B14" s="262">
        <v>3635</v>
      </c>
      <c r="C14" s="262">
        <v>6119</v>
      </c>
      <c r="D14" s="262">
        <v>12</v>
      </c>
      <c r="E14" s="271" t="s">
        <v>1013</v>
      </c>
      <c r="F14" s="264">
        <v>300</v>
      </c>
      <c r="G14" s="265">
        <v>300000</v>
      </c>
      <c r="H14" s="265"/>
      <c r="I14" s="265">
        <f t="shared" si="0"/>
        <v>300000</v>
      </c>
      <c r="J14" s="265">
        <f t="shared" si="1"/>
        <v>300000</v>
      </c>
      <c r="K14" s="265">
        <v>296429</v>
      </c>
      <c r="L14" s="265">
        <f>K14/J14*100</f>
        <v>98.80966666666666</v>
      </c>
      <c r="M14" s="265"/>
      <c r="N14" s="265">
        <f t="shared" si="2"/>
        <v>300000</v>
      </c>
      <c r="O14" s="276"/>
      <c r="P14" s="267"/>
    </row>
    <row r="15" spans="1:16" ht="15.75" customHeight="1">
      <c r="A15" s="262">
        <v>5044</v>
      </c>
      <c r="B15" s="262">
        <v>3635</v>
      </c>
      <c r="C15" s="262">
        <v>6119</v>
      </c>
      <c r="D15" s="262">
        <v>13</v>
      </c>
      <c r="E15" s="271" t="s">
        <v>1014</v>
      </c>
      <c r="F15" s="264">
        <v>0</v>
      </c>
      <c r="G15" s="265">
        <v>600000</v>
      </c>
      <c r="H15" s="265"/>
      <c r="I15" s="265">
        <f t="shared" si="0"/>
        <v>600000</v>
      </c>
      <c r="J15" s="265">
        <f t="shared" si="1"/>
        <v>600000</v>
      </c>
      <c r="K15" s="265">
        <v>599792</v>
      </c>
      <c r="L15" s="265">
        <f>K15/J15*100</f>
        <v>99.96533333333333</v>
      </c>
      <c r="M15" s="277"/>
      <c r="N15" s="265">
        <f t="shared" si="2"/>
        <v>600000</v>
      </c>
      <c r="O15" s="276"/>
      <c r="P15" s="267"/>
    </row>
    <row r="16" spans="1:16" ht="15.75" customHeight="1">
      <c r="A16" s="262">
        <v>4286</v>
      </c>
      <c r="B16" s="262">
        <v>3635</v>
      </c>
      <c r="C16" s="262">
        <v>6119</v>
      </c>
      <c r="D16" s="262">
        <v>14</v>
      </c>
      <c r="E16" s="271" t="s">
        <v>1015</v>
      </c>
      <c r="F16" s="264">
        <v>0</v>
      </c>
      <c r="G16" s="265">
        <v>74000</v>
      </c>
      <c r="H16" s="265"/>
      <c r="I16" s="265">
        <f t="shared" si="0"/>
        <v>74000</v>
      </c>
      <c r="J16" s="265">
        <f t="shared" si="1"/>
        <v>74000</v>
      </c>
      <c r="K16" s="265">
        <v>73780</v>
      </c>
      <c r="L16" s="265">
        <f>K16/J16*100</f>
        <v>99.70270270270271</v>
      </c>
      <c r="M16" s="277"/>
      <c r="N16" s="265">
        <f t="shared" si="2"/>
        <v>74000</v>
      </c>
      <c r="O16" s="276"/>
      <c r="P16" s="267"/>
    </row>
    <row r="17" spans="1:16" ht="15.75" customHeight="1" thickBot="1">
      <c r="A17" s="268">
        <v>4710</v>
      </c>
      <c r="B17" s="268">
        <v>3635</v>
      </c>
      <c r="C17" s="268">
        <v>6119</v>
      </c>
      <c r="D17" s="262">
        <v>15</v>
      </c>
      <c r="E17" s="271" t="s">
        <v>1016</v>
      </c>
      <c r="F17" s="264">
        <v>70</v>
      </c>
      <c r="G17" s="265">
        <v>70000</v>
      </c>
      <c r="H17" s="265"/>
      <c r="I17" s="265">
        <f t="shared" si="0"/>
        <v>70000</v>
      </c>
      <c r="J17" s="265">
        <f t="shared" si="1"/>
        <v>0</v>
      </c>
      <c r="K17" s="265"/>
      <c r="L17" s="277"/>
      <c r="M17" s="277">
        <v>70000</v>
      </c>
      <c r="N17" s="265">
        <f t="shared" si="2"/>
        <v>0</v>
      </c>
      <c r="O17" s="275"/>
      <c r="P17" s="267"/>
    </row>
    <row r="18" spans="1:241" s="284" customFormat="1" ht="19.5" customHeight="1" thickBot="1">
      <c r="A18" s="278"/>
      <c r="B18" s="278"/>
      <c r="C18" s="278"/>
      <c r="D18" s="278"/>
      <c r="E18" s="279" t="s">
        <v>335</v>
      </c>
      <c r="F18" s="280">
        <f aca="true" t="shared" si="4" ref="F18:K18">SUM(F3:F17)</f>
        <v>5500</v>
      </c>
      <c r="G18" s="281">
        <f t="shared" si="4"/>
        <v>8225895</v>
      </c>
      <c r="H18" s="281">
        <f t="shared" si="4"/>
        <v>-200000</v>
      </c>
      <c r="I18" s="281">
        <f t="shared" si="4"/>
        <v>8025895</v>
      </c>
      <c r="J18" s="281">
        <f t="shared" si="4"/>
        <v>7732895</v>
      </c>
      <c r="K18" s="281">
        <f t="shared" si="4"/>
        <v>7619841</v>
      </c>
      <c r="L18" s="281">
        <f>K18/I18*100</f>
        <v>94.94070131742318</v>
      </c>
      <c r="M18" s="281">
        <f>SUM(M3:M17)</f>
        <v>293000</v>
      </c>
      <c r="N18" s="281">
        <f>SUM(N3:N17)</f>
        <v>7732895</v>
      </c>
      <c r="O18" s="282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283"/>
      <c r="GF18" s="283"/>
      <c r="GG18" s="283"/>
      <c r="GH18" s="283"/>
      <c r="GI18" s="283"/>
      <c r="GJ18" s="283"/>
      <c r="GK18" s="283"/>
      <c r="GL18" s="283"/>
      <c r="GM18" s="283"/>
      <c r="GN18" s="283"/>
      <c r="GO18" s="283"/>
      <c r="GP18" s="283"/>
      <c r="GQ18" s="283"/>
      <c r="GR18" s="283"/>
      <c r="GS18" s="283"/>
      <c r="GT18" s="283"/>
      <c r="GU18" s="283"/>
      <c r="GV18" s="283"/>
      <c r="GW18" s="283"/>
      <c r="GX18" s="283"/>
      <c r="GY18" s="283"/>
      <c r="GZ18" s="283"/>
      <c r="HA18" s="283"/>
      <c r="HB18" s="283"/>
      <c r="HC18" s="283"/>
      <c r="HD18" s="283"/>
      <c r="HE18" s="283"/>
      <c r="HF18" s="283"/>
      <c r="HG18" s="283"/>
      <c r="HH18" s="283"/>
      <c r="HI18" s="283"/>
      <c r="HJ18" s="283"/>
      <c r="HK18" s="283"/>
      <c r="HL18" s="283"/>
      <c r="HM18" s="283"/>
      <c r="HN18" s="283"/>
      <c r="HO18" s="283"/>
      <c r="HP18" s="283"/>
      <c r="HQ18" s="283"/>
      <c r="HR18" s="283"/>
      <c r="HS18" s="283"/>
      <c r="HT18" s="283"/>
      <c r="HU18" s="283"/>
      <c r="HV18" s="283"/>
      <c r="HW18" s="283"/>
      <c r="HX18" s="283"/>
      <c r="HY18" s="283"/>
      <c r="HZ18" s="283"/>
      <c r="IA18" s="283"/>
      <c r="IB18" s="283"/>
      <c r="IC18" s="283"/>
      <c r="ID18" s="283"/>
      <c r="IE18" s="283"/>
      <c r="IF18" s="283"/>
      <c r="IG18" s="283"/>
    </row>
    <row r="19" spans="1:16" ht="19.5" customHeight="1">
      <c r="A19" s="285"/>
      <c r="B19" s="285"/>
      <c r="C19" s="285"/>
      <c r="D19" s="285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ht="19.5" customHeight="1"/>
    <row r="21" ht="19.5" customHeight="1">
      <c r="E21" s="289"/>
    </row>
    <row r="22" ht="19.5" customHeight="1"/>
    <row r="23" ht="19.5" customHeight="1"/>
    <row r="24" ht="19.5" customHeight="1">
      <c r="E24" s="289"/>
    </row>
    <row r="25" ht="19.5" customHeight="1"/>
    <row r="26" ht="19.5" customHeight="1"/>
    <row r="27" ht="19.5" customHeight="1"/>
    <row r="28" ht="19.5" customHeight="1">
      <c r="E28" s="290"/>
    </row>
    <row r="29" ht="15">
      <c r="E29" s="290"/>
    </row>
  </sheetData>
  <printOptions/>
  <pageMargins left="1.33" right="0.1968503937007874" top="1.43" bottom="0.81" header="0.94" footer="0.37"/>
  <pageSetup horizontalDpi="600" verticalDpi="600" orientation="landscape" paperSize="9" scale="70" r:id="rId2"/>
  <headerFooter alignWithMargins="0">
    <oddHeader>&amp;C&amp;"Arial,Tučné"&amp;12Schválený rozpočet investičních akcí na rok 2009 - individuální příslib&amp;RPříloha č. 8</oddHeader>
    <oddFooter>&amp;C9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97"/>
  <sheetViews>
    <sheetView zoomScaleSheetLayoutView="100" workbookViewId="0" topLeftCell="A1">
      <pane xSplit="5" ySplit="1" topLeftCell="F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36" sqref="E36"/>
    </sheetView>
  </sheetViews>
  <sheetFormatPr defaultColWidth="9.00390625" defaultRowHeight="12.75" outlineLevelCol="1"/>
  <cols>
    <col min="1" max="3" width="6.75390625" style="157" customWidth="1"/>
    <col min="4" max="4" width="4.75390625" style="157" customWidth="1"/>
    <col min="5" max="5" width="58.75390625" style="158" customWidth="1"/>
    <col min="6" max="6" width="15.25390625" style="179" customWidth="1"/>
    <col min="7" max="7" width="15.25390625" style="179" hidden="1" customWidth="1" outlineLevel="1"/>
    <col min="8" max="8" width="14.125" style="179" hidden="1" customWidth="1" outlineLevel="1"/>
    <col min="9" max="9" width="15.25390625" style="179" hidden="1" customWidth="1" collapsed="1"/>
    <col min="10" max="10" width="15.25390625" style="179" customWidth="1"/>
    <col min="11" max="11" width="15.25390625" style="179" customWidth="1" outlineLevel="1"/>
    <col min="12" max="12" width="15.25390625" style="179" hidden="1" customWidth="1" outlineLevel="1"/>
    <col min="13" max="13" width="8.875" style="179" customWidth="1" outlineLevel="1"/>
    <col min="14" max="14" width="12.25390625" style="179" hidden="1" customWidth="1" outlineLevel="1"/>
    <col min="15" max="15" width="14.375" style="179" hidden="1" customWidth="1" outlineLevel="1"/>
    <col min="16" max="16" width="36.625" style="160" customWidth="1" collapsed="1"/>
    <col min="17" max="22" width="9.125" style="67" customWidth="1"/>
    <col min="23" max="16384" width="9.125" style="72" customWidth="1"/>
  </cols>
  <sheetData>
    <row r="1" spans="1:16" s="57" customFormat="1" ht="54.75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810</v>
      </c>
      <c r="G1" s="56" t="s">
        <v>811</v>
      </c>
      <c r="H1" s="56" t="s">
        <v>1000</v>
      </c>
      <c r="I1" s="56" t="s">
        <v>812</v>
      </c>
      <c r="J1" s="56" t="s">
        <v>2</v>
      </c>
      <c r="K1" s="56" t="s">
        <v>3</v>
      </c>
      <c r="L1" s="56" t="s">
        <v>97</v>
      </c>
      <c r="M1" s="56" t="s">
        <v>329</v>
      </c>
      <c r="N1" s="56" t="s">
        <v>276</v>
      </c>
      <c r="O1" s="56" t="s">
        <v>977</v>
      </c>
      <c r="P1" s="56" t="s">
        <v>327</v>
      </c>
    </row>
    <row r="2" spans="1:16" ht="15.75" hidden="1">
      <c r="A2" s="291">
        <v>34398</v>
      </c>
      <c r="B2" s="291">
        <v>3639</v>
      </c>
      <c r="C2" s="291">
        <v>6130</v>
      </c>
      <c r="D2" s="291"/>
      <c r="E2" s="292" t="s">
        <v>813</v>
      </c>
      <c r="F2" s="293"/>
      <c r="G2" s="294"/>
      <c r="H2" s="294"/>
      <c r="I2" s="294"/>
      <c r="J2" s="294"/>
      <c r="K2" s="294"/>
      <c r="L2" s="294"/>
      <c r="M2" s="294"/>
      <c r="N2" s="294"/>
      <c r="O2" s="294"/>
      <c r="P2" s="295"/>
    </row>
    <row r="3" spans="1:16" ht="15.75" hidden="1">
      <c r="A3" s="291"/>
      <c r="B3" s="291">
        <v>5311</v>
      </c>
      <c r="C3" s="291">
        <v>6122</v>
      </c>
      <c r="D3" s="291"/>
      <c r="E3" s="296" t="s">
        <v>814</v>
      </c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</row>
    <row r="4" spans="1:16" ht="15.75" hidden="1">
      <c r="A4" s="291"/>
      <c r="B4" s="299">
        <v>5311</v>
      </c>
      <c r="C4" s="300">
        <v>6122</v>
      </c>
      <c r="D4" s="300"/>
      <c r="E4" s="301" t="s">
        <v>815</v>
      </c>
      <c r="F4" s="302"/>
      <c r="G4" s="297"/>
      <c r="H4" s="297"/>
      <c r="I4" s="297"/>
      <c r="J4" s="297"/>
      <c r="K4" s="297"/>
      <c r="L4" s="297"/>
      <c r="M4" s="297"/>
      <c r="N4" s="297"/>
      <c r="O4" s="297"/>
      <c r="P4" s="298"/>
    </row>
    <row r="5" spans="1:22" s="310" customFormat="1" ht="15.75">
      <c r="A5" s="303" t="s">
        <v>816</v>
      </c>
      <c r="B5" s="304"/>
      <c r="C5" s="305"/>
      <c r="D5" s="305"/>
      <c r="E5" s="306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8"/>
      <c r="Q5" s="309"/>
      <c r="R5" s="309"/>
      <c r="S5" s="309"/>
      <c r="T5" s="309"/>
      <c r="U5" s="309"/>
      <c r="V5" s="309"/>
    </row>
    <row r="6" spans="1:22" s="68" customFormat="1" ht="15.75" customHeight="1">
      <c r="A6" s="69">
        <v>34401</v>
      </c>
      <c r="B6" s="311">
        <v>2321</v>
      </c>
      <c r="C6" s="69">
        <v>6121</v>
      </c>
      <c r="D6" s="69">
        <v>1</v>
      </c>
      <c r="E6" s="312" t="s">
        <v>817</v>
      </c>
      <c r="F6" s="313"/>
      <c r="G6" s="314">
        <v>1034250</v>
      </c>
      <c r="H6" s="314"/>
      <c r="I6" s="314">
        <f aca="true" t="shared" si="0" ref="I6:I29">G6+H6</f>
        <v>1034250</v>
      </c>
      <c r="J6" s="314">
        <f aca="true" t="shared" si="1" ref="J6:J26">O6</f>
        <v>1034250</v>
      </c>
      <c r="K6" s="314">
        <v>1034250</v>
      </c>
      <c r="L6" s="314">
        <f aca="true" t="shared" si="2" ref="L6:L29">O6</f>
        <v>1034250</v>
      </c>
      <c r="M6" s="314">
        <f aca="true" t="shared" si="3" ref="M6:M11">K6/J6*100</f>
        <v>100</v>
      </c>
      <c r="N6" s="314"/>
      <c r="O6" s="314">
        <f aca="true" t="shared" si="4" ref="O6:O29">I6-N6</f>
        <v>1034250</v>
      </c>
      <c r="P6" s="315" t="s">
        <v>818</v>
      </c>
      <c r="Q6" s="67"/>
      <c r="R6" s="67"/>
      <c r="S6" s="67"/>
      <c r="T6" s="67"/>
      <c r="U6" s="67"/>
      <c r="V6" s="67"/>
    </row>
    <row r="7" spans="1:22" s="68" customFormat="1" ht="15.75" customHeight="1">
      <c r="A7" s="75">
        <v>35028</v>
      </c>
      <c r="B7" s="316">
        <v>1039</v>
      </c>
      <c r="C7" s="75">
        <v>6119</v>
      </c>
      <c r="D7" s="75">
        <v>2</v>
      </c>
      <c r="E7" s="317" t="s">
        <v>819</v>
      </c>
      <c r="F7" s="318">
        <v>0</v>
      </c>
      <c r="G7" s="319">
        <v>193089</v>
      </c>
      <c r="H7" s="319"/>
      <c r="I7" s="320">
        <f t="shared" si="0"/>
        <v>193089</v>
      </c>
      <c r="J7" s="314">
        <f t="shared" si="1"/>
        <v>193089</v>
      </c>
      <c r="K7" s="320">
        <v>193089</v>
      </c>
      <c r="L7" s="314">
        <f t="shared" si="2"/>
        <v>193089</v>
      </c>
      <c r="M7" s="314">
        <f t="shared" si="3"/>
        <v>100</v>
      </c>
      <c r="N7" s="320"/>
      <c r="O7" s="314">
        <f t="shared" si="4"/>
        <v>193089</v>
      </c>
      <c r="P7" s="321" t="s">
        <v>592</v>
      </c>
      <c r="Q7" s="67"/>
      <c r="R7" s="67"/>
      <c r="S7" s="67"/>
      <c r="T7" s="67"/>
      <c r="U7" s="67"/>
      <c r="V7" s="67"/>
    </row>
    <row r="8" spans="1:22" s="68" customFormat="1" ht="15.75" customHeight="1">
      <c r="A8" s="75">
        <v>35060</v>
      </c>
      <c r="B8" s="316">
        <v>1039</v>
      </c>
      <c r="C8" s="75">
        <v>6119</v>
      </c>
      <c r="D8" s="69">
        <v>3</v>
      </c>
      <c r="E8" s="317" t="s">
        <v>820</v>
      </c>
      <c r="F8" s="318">
        <v>0</v>
      </c>
      <c r="G8" s="319">
        <v>297500</v>
      </c>
      <c r="H8" s="319"/>
      <c r="I8" s="320">
        <f t="shared" si="0"/>
        <v>297500</v>
      </c>
      <c r="J8" s="314">
        <f t="shared" si="1"/>
        <v>297500</v>
      </c>
      <c r="K8" s="320">
        <v>297500</v>
      </c>
      <c r="L8" s="314">
        <f t="shared" si="2"/>
        <v>297500</v>
      </c>
      <c r="M8" s="314">
        <f t="shared" si="3"/>
        <v>100</v>
      </c>
      <c r="N8" s="320"/>
      <c r="O8" s="314">
        <f t="shared" si="4"/>
        <v>297500</v>
      </c>
      <c r="P8" s="321" t="s">
        <v>592</v>
      </c>
      <c r="Q8" s="67"/>
      <c r="R8" s="67"/>
      <c r="S8" s="67"/>
      <c r="T8" s="67"/>
      <c r="U8" s="67"/>
      <c r="V8" s="67"/>
    </row>
    <row r="9" spans="1:22" s="68" customFormat="1" ht="15.75" customHeight="1">
      <c r="A9" s="75">
        <v>34900</v>
      </c>
      <c r="B9" s="316">
        <v>6171</v>
      </c>
      <c r="C9" s="75">
        <v>6122</v>
      </c>
      <c r="D9" s="75">
        <v>4</v>
      </c>
      <c r="E9" s="322" t="s">
        <v>821</v>
      </c>
      <c r="F9" s="323">
        <v>0</v>
      </c>
      <c r="G9" s="324">
        <v>244500</v>
      </c>
      <c r="H9" s="324"/>
      <c r="I9" s="314">
        <f t="shared" si="0"/>
        <v>244500</v>
      </c>
      <c r="J9" s="314">
        <f t="shared" si="1"/>
        <v>244500</v>
      </c>
      <c r="K9" s="314">
        <v>244106</v>
      </c>
      <c r="L9" s="314">
        <f t="shared" si="2"/>
        <v>244500</v>
      </c>
      <c r="M9" s="314">
        <f t="shared" si="3"/>
        <v>99.83885480572597</v>
      </c>
      <c r="N9" s="320"/>
      <c r="O9" s="314">
        <f t="shared" si="4"/>
        <v>244500</v>
      </c>
      <c r="P9" s="315" t="s">
        <v>932</v>
      </c>
      <c r="Q9" s="67"/>
      <c r="R9" s="67"/>
      <c r="S9" s="67"/>
      <c r="T9" s="67"/>
      <c r="U9" s="67"/>
      <c r="V9" s="67"/>
    </row>
    <row r="10" spans="1:22" s="68" customFormat="1" ht="15.75" customHeight="1">
      <c r="A10" s="75">
        <v>35051</v>
      </c>
      <c r="B10" s="316">
        <v>5212</v>
      </c>
      <c r="C10" s="75">
        <v>6122</v>
      </c>
      <c r="D10" s="69">
        <v>5</v>
      </c>
      <c r="E10" s="322" t="s">
        <v>822</v>
      </c>
      <c r="F10" s="323">
        <v>0</v>
      </c>
      <c r="G10" s="324">
        <v>350000</v>
      </c>
      <c r="H10" s="324"/>
      <c r="I10" s="314">
        <f t="shared" si="0"/>
        <v>350000</v>
      </c>
      <c r="J10" s="314">
        <f t="shared" si="1"/>
        <v>350000</v>
      </c>
      <c r="K10" s="314">
        <v>350006</v>
      </c>
      <c r="L10" s="314">
        <f t="shared" si="2"/>
        <v>350000</v>
      </c>
      <c r="M10" s="314">
        <f t="shared" si="3"/>
        <v>100.0017142857143</v>
      </c>
      <c r="N10" s="314"/>
      <c r="O10" s="314">
        <f t="shared" si="4"/>
        <v>350000</v>
      </c>
      <c r="P10" s="315" t="s">
        <v>823</v>
      </c>
      <c r="Q10" s="67"/>
      <c r="R10" s="67"/>
      <c r="S10" s="67"/>
      <c r="T10" s="67"/>
      <c r="U10" s="67"/>
      <c r="V10" s="67"/>
    </row>
    <row r="11" spans="1:22" s="68" customFormat="1" ht="15.75" customHeight="1">
      <c r="A11" s="75">
        <v>35051</v>
      </c>
      <c r="B11" s="316">
        <v>5512</v>
      </c>
      <c r="C11" s="75">
        <v>6122</v>
      </c>
      <c r="D11" s="75">
        <v>6</v>
      </c>
      <c r="E11" s="322" t="s">
        <v>822</v>
      </c>
      <c r="F11" s="323">
        <v>0</v>
      </c>
      <c r="G11" s="324"/>
      <c r="H11" s="324"/>
      <c r="I11" s="314"/>
      <c r="J11" s="314">
        <v>349000</v>
      </c>
      <c r="K11" s="314">
        <v>349000</v>
      </c>
      <c r="L11" s="314"/>
      <c r="M11" s="314">
        <f t="shared" si="3"/>
        <v>100</v>
      </c>
      <c r="N11" s="314"/>
      <c r="O11" s="314"/>
      <c r="P11" s="401" t="s">
        <v>351</v>
      </c>
      <c r="Q11" s="67"/>
      <c r="R11" s="67"/>
      <c r="S11" s="67"/>
      <c r="T11" s="67"/>
      <c r="U11" s="67"/>
      <c r="V11" s="67"/>
    </row>
    <row r="12" spans="1:22" s="68" customFormat="1" ht="15.75" customHeight="1">
      <c r="A12" s="75">
        <v>34929</v>
      </c>
      <c r="B12" s="316">
        <v>2143</v>
      </c>
      <c r="C12" s="75">
        <v>6122</v>
      </c>
      <c r="D12" s="69">
        <v>7</v>
      </c>
      <c r="E12" s="322" t="s">
        <v>824</v>
      </c>
      <c r="F12" s="323">
        <v>0</v>
      </c>
      <c r="G12" s="324">
        <v>600000</v>
      </c>
      <c r="H12" s="324"/>
      <c r="I12" s="314">
        <f t="shared" si="0"/>
        <v>600000</v>
      </c>
      <c r="J12" s="314">
        <f t="shared" si="1"/>
        <v>600000</v>
      </c>
      <c r="K12" s="314"/>
      <c r="L12" s="314">
        <f t="shared" si="2"/>
        <v>600000</v>
      </c>
      <c r="M12" s="314"/>
      <c r="N12" s="314"/>
      <c r="O12" s="314">
        <f t="shared" si="4"/>
        <v>600000</v>
      </c>
      <c r="P12" s="315" t="s">
        <v>825</v>
      </c>
      <c r="Q12" s="67"/>
      <c r="R12" s="67"/>
      <c r="S12" s="67"/>
      <c r="T12" s="67"/>
      <c r="U12" s="67"/>
      <c r="V12" s="67"/>
    </row>
    <row r="13" spans="1:22" s="68" customFormat="1" ht="15.75" customHeight="1">
      <c r="A13" s="325">
        <v>30952</v>
      </c>
      <c r="B13" s="325">
        <v>5311</v>
      </c>
      <c r="C13" s="325">
        <v>6122</v>
      </c>
      <c r="D13" s="75">
        <v>8</v>
      </c>
      <c r="E13" s="326" t="s">
        <v>826</v>
      </c>
      <c r="F13" s="126">
        <v>0</v>
      </c>
      <c r="G13" s="127">
        <v>159152</v>
      </c>
      <c r="H13" s="127">
        <v>46000</v>
      </c>
      <c r="I13" s="314">
        <f t="shared" si="0"/>
        <v>205152</v>
      </c>
      <c r="J13" s="314">
        <v>159152</v>
      </c>
      <c r="K13" s="314">
        <v>159152</v>
      </c>
      <c r="L13" s="314">
        <f t="shared" si="2"/>
        <v>205152</v>
      </c>
      <c r="M13" s="314">
        <f aca="true" t="shared" si="5" ref="M13:M20">K13/J13*100</f>
        <v>100</v>
      </c>
      <c r="N13" s="314"/>
      <c r="O13" s="314">
        <f t="shared" si="4"/>
        <v>205152</v>
      </c>
      <c r="P13" s="315" t="s">
        <v>847</v>
      </c>
      <c r="Q13" s="67"/>
      <c r="R13" s="67"/>
      <c r="S13" s="67"/>
      <c r="T13" s="67"/>
      <c r="U13" s="67"/>
      <c r="V13" s="67"/>
    </row>
    <row r="14" spans="1:22" s="68" customFormat="1" ht="15.75" customHeight="1">
      <c r="A14" s="325">
        <v>30952</v>
      </c>
      <c r="B14" s="325">
        <v>5311</v>
      </c>
      <c r="C14" s="400">
        <v>6122</v>
      </c>
      <c r="D14" s="69">
        <v>9</v>
      </c>
      <c r="E14" s="326" t="s">
        <v>826</v>
      </c>
      <c r="F14" s="126">
        <v>0</v>
      </c>
      <c r="G14" s="127"/>
      <c r="H14" s="127"/>
      <c r="I14" s="314"/>
      <c r="J14" s="314">
        <v>536000</v>
      </c>
      <c r="K14" s="314">
        <v>536000</v>
      </c>
      <c r="L14" s="314"/>
      <c r="M14" s="314">
        <f t="shared" si="5"/>
        <v>100</v>
      </c>
      <c r="N14" s="314"/>
      <c r="O14" s="314"/>
      <c r="P14" s="401" t="s">
        <v>350</v>
      </c>
      <c r="Q14" s="67"/>
      <c r="R14" s="67"/>
      <c r="S14" s="67"/>
      <c r="T14" s="67"/>
      <c r="U14" s="67"/>
      <c r="V14" s="67"/>
    </row>
    <row r="15" spans="1:23" s="86" customFormat="1" ht="15.75" customHeight="1">
      <c r="A15" s="75">
        <v>30975</v>
      </c>
      <c r="B15" s="75">
        <v>2321</v>
      </c>
      <c r="C15" s="87">
        <v>6121</v>
      </c>
      <c r="D15" s="75">
        <v>10</v>
      </c>
      <c r="E15" s="92" t="s">
        <v>827</v>
      </c>
      <c r="F15" s="89">
        <v>0</v>
      </c>
      <c r="G15" s="90">
        <v>2500000</v>
      </c>
      <c r="H15" s="90"/>
      <c r="I15" s="65">
        <f t="shared" si="0"/>
        <v>2500000</v>
      </c>
      <c r="J15" s="314">
        <f t="shared" si="1"/>
        <v>2500000</v>
      </c>
      <c r="K15" s="65">
        <v>2445037.4</v>
      </c>
      <c r="L15" s="314">
        <f t="shared" si="2"/>
        <v>2500000</v>
      </c>
      <c r="M15" s="314">
        <f t="shared" si="5"/>
        <v>97.801496</v>
      </c>
      <c r="N15" s="314"/>
      <c r="O15" s="314">
        <f t="shared" si="4"/>
        <v>2500000</v>
      </c>
      <c r="P15" s="66" t="s">
        <v>932</v>
      </c>
      <c r="Q15" s="67"/>
      <c r="R15" s="67"/>
      <c r="S15" s="67"/>
      <c r="T15" s="67"/>
      <c r="U15" s="67"/>
      <c r="V15" s="67"/>
      <c r="W15" s="85"/>
    </row>
    <row r="16" spans="1:22" s="68" customFormat="1" ht="15.75" customHeight="1">
      <c r="A16" s="325">
        <v>30953</v>
      </c>
      <c r="B16" s="325">
        <v>3419</v>
      </c>
      <c r="C16" s="325">
        <v>6202</v>
      </c>
      <c r="D16" s="69">
        <v>11</v>
      </c>
      <c r="E16" s="326" t="s">
        <v>828</v>
      </c>
      <c r="F16" s="126">
        <v>4500</v>
      </c>
      <c r="G16" s="127">
        <v>7000000</v>
      </c>
      <c r="H16" s="127"/>
      <c r="I16" s="314">
        <f t="shared" si="0"/>
        <v>7000000</v>
      </c>
      <c r="J16" s="314">
        <f t="shared" si="1"/>
        <v>7000000</v>
      </c>
      <c r="K16" s="324">
        <v>7000000</v>
      </c>
      <c r="L16" s="314">
        <f t="shared" si="2"/>
        <v>7000000</v>
      </c>
      <c r="M16" s="314">
        <f t="shared" si="5"/>
        <v>100</v>
      </c>
      <c r="N16" s="324"/>
      <c r="O16" s="314">
        <f t="shared" si="4"/>
        <v>7000000</v>
      </c>
      <c r="P16" s="327" t="s">
        <v>825</v>
      </c>
      <c r="Q16" s="67"/>
      <c r="R16" s="67"/>
      <c r="S16" s="67"/>
      <c r="T16" s="67"/>
      <c r="U16" s="67"/>
      <c r="V16" s="67"/>
    </row>
    <row r="17" spans="1:22" s="68" customFormat="1" ht="15.75" customHeight="1">
      <c r="A17" s="325">
        <v>35072</v>
      </c>
      <c r="B17" s="325">
        <v>5311</v>
      </c>
      <c r="C17" s="325">
        <v>6123</v>
      </c>
      <c r="D17" s="75">
        <v>12</v>
      </c>
      <c r="E17" s="326" t="s">
        <v>829</v>
      </c>
      <c r="F17" s="126">
        <v>0</v>
      </c>
      <c r="G17" s="127">
        <v>0</v>
      </c>
      <c r="H17" s="127">
        <v>900000</v>
      </c>
      <c r="I17" s="314">
        <f t="shared" si="0"/>
        <v>900000</v>
      </c>
      <c r="J17" s="314">
        <f t="shared" si="1"/>
        <v>900000</v>
      </c>
      <c r="K17" s="324">
        <v>783660</v>
      </c>
      <c r="L17" s="314">
        <f t="shared" si="2"/>
        <v>900000</v>
      </c>
      <c r="M17" s="314">
        <f t="shared" si="5"/>
        <v>87.07333333333334</v>
      </c>
      <c r="N17" s="324"/>
      <c r="O17" s="314">
        <f t="shared" si="4"/>
        <v>900000</v>
      </c>
      <c r="P17" s="328" t="s">
        <v>847</v>
      </c>
      <c r="Q17" s="67"/>
      <c r="R17" s="67"/>
      <c r="S17" s="67"/>
      <c r="T17" s="67"/>
      <c r="U17" s="67"/>
      <c r="V17" s="67"/>
    </row>
    <row r="18" spans="1:16" ht="15.75" customHeight="1">
      <c r="A18" s="75">
        <v>34974</v>
      </c>
      <c r="B18" s="316">
        <v>5311</v>
      </c>
      <c r="C18" s="75">
        <v>6122</v>
      </c>
      <c r="D18" s="69">
        <v>13</v>
      </c>
      <c r="E18" s="322" t="s">
        <v>830</v>
      </c>
      <c r="F18" s="323">
        <v>0</v>
      </c>
      <c r="G18" s="324">
        <v>45000</v>
      </c>
      <c r="H18" s="324"/>
      <c r="I18" s="314">
        <f t="shared" si="0"/>
        <v>45000</v>
      </c>
      <c r="J18" s="314">
        <f t="shared" si="1"/>
        <v>45000</v>
      </c>
      <c r="K18" s="324">
        <v>44007</v>
      </c>
      <c r="L18" s="314">
        <f t="shared" si="2"/>
        <v>45000</v>
      </c>
      <c r="M18" s="314">
        <f t="shared" si="5"/>
        <v>97.79333333333334</v>
      </c>
      <c r="N18" s="324"/>
      <c r="O18" s="314">
        <f t="shared" si="4"/>
        <v>45000</v>
      </c>
      <c r="P18" s="328" t="s">
        <v>847</v>
      </c>
    </row>
    <row r="19" spans="1:16" ht="15.75" customHeight="1">
      <c r="A19" s="75">
        <v>30952</v>
      </c>
      <c r="B19" s="316">
        <v>5311</v>
      </c>
      <c r="C19" s="75">
        <v>6122</v>
      </c>
      <c r="D19" s="75">
        <v>14</v>
      </c>
      <c r="E19" s="322" t="s">
        <v>831</v>
      </c>
      <c r="F19" s="323">
        <v>400</v>
      </c>
      <c r="G19" s="324">
        <v>400000</v>
      </c>
      <c r="H19" s="324"/>
      <c r="I19" s="314">
        <f t="shared" si="0"/>
        <v>400000</v>
      </c>
      <c r="J19" s="314">
        <v>446000</v>
      </c>
      <c r="K19" s="324">
        <v>115828</v>
      </c>
      <c r="L19" s="314">
        <f t="shared" si="2"/>
        <v>400000</v>
      </c>
      <c r="M19" s="314">
        <f t="shared" si="5"/>
        <v>25.970403587443947</v>
      </c>
      <c r="N19" s="324"/>
      <c r="O19" s="314">
        <f t="shared" si="4"/>
        <v>400000</v>
      </c>
      <c r="P19" s="328" t="s">
        <v>832</v>
      </c>
    </row>
    <row r="20" spans="1:16" ht="15.75" customHeight="1">
      <c r="A20" s="75">
        <v>35009</v>
      </c>
      <c r="B20" s="316">
        <v>5311</v>
      </c>
      <c r="C20" s="75">
        <v>6122</v>
      </c>
      <c r="D20" s="69">
        <v>15</v>
      </c>
      <c r="E20" s="322" t="s">
        <v>833</v>
      </c>
      <c r="F20" s="323">
        <v>0</v>
      </c>
      <c r="G20" s="324">
        <v>2582000</v>
      </c>
      <c r="H20" s="324">
        <v>-1240000</v>
      </c>
      <c r="I20" s="314">
        <f t="shared" si="0"/>
        <v>1342000</v>
      </c>
      <c r="J20" s="314">
        <f t="shared" si="1"/>
        <v>1342000</v>
      </c>
      <c r="K20" s="324">
        <v>1326564</v>
      </c>
      <c r="L20" s="314">
        <f t="shared" si="2"/>
        <v>1342000</v>
      </c>
      <c r="M20" s="314">
        <f t="shared" si="5"/>
        <v>98.84977645305514</v>
      </c>
      <c r="N20" s="324"/>
      <c r="O20" s="314">
        <f t="shared" si="4"/>
        <v>1342000</v>
      </c>
      <c r="P20" s="328" t="s">
        <v>847</v>
      </c>
    </row>
    <row r="21" spans="1:16" ht="15.75" customHeight="1">
      <c r="A21" s="75">
        <v>31111</v>
      </c>
      <c r="B21" s="316">
        <v>6171</v>
      </c>
      <c r="C21" s="75">
        <v>6125</v>
      </c>
      <c r="D21" s="75">
        <v>16</v>
      </c>
      <c r="E21" s="322" t="s">
        <v>834</v>
      </c>
      <c r="F21" s="323">
        <v>0</v>
      </c>
      <c r="G21" s="324">
        <v>200000</v>
      </c>
      <c r="H21" s="324"/>
      <c r="I21" s="314">
        <f t="shared" si="0"/>
        <v>200000</v>
      </c>
      <c r="J21" s="314">
        <f t="shared" si="1"/>
        <v>200000</v>
      </c>
      <c r="K21" s="324">
        <v>143268</v>
      </c>
      <c r="L21" s="314">
        <f t="shared" si="2"/>
        <v>200000</v>
      </c>
      <c r="M21" s="314">
        <f aca="true" t="shared" si="6" ref="M21:M30">K21/J21*100</f>
        <v>71.634</v>
      </c>
      <c r="N21" s="324"/>
      <c r="O21" s="314">
        <f t="shared" si="4"/>
        <v>200000</v>
      </c>
      <c r="P21" s="328" t="s">
        <v>583</v>
      </c>
    </row>
    <row r="22" spans="1:16" ht="15.75" customHeight="1">
      <c r="A22" s="75">
        <v>35071</v>
      </c>
      <c r="B22" s="316">
        <v>6171</v>
      </c>
      <c r="C22" s="75">
        <v>6122</v>
      </c>
      <c r="D22" s="69">
        <v>17</v>
      </c>
      <c r="E22" s="322" t="s">
        <v>584</v>
      </c>
      <c r="F22" s="323">
        <v>0</v>
      </c>
      <c r="G22" s="324">
        <v>0</v>
      </c>
      <c r="H22" s="324">
        <v>323103</v>
      </c>
      <c r="I22" s="314">
        <f t="shared" si="0"/>
        <v>323103</v>
      </c>
      <c r="J22" s="314">
        <f t="shared" si="1"/>
        <v>323103</v>
      </c>
      <c r="K22" s="324">
        <v>319789</v>
      </c>
      <c r="L22" s="314">
        <f t="shared" si="2"/>
        <v>323103</v>
      </c>
      <c r="M22" s="314">
        <f t="shared" si="6"/>
        <v>98.97432088219547</v>
      </c>
      <c r="N22" s="324"/>
      <c r="O22" s="314">
        <f t="shared" si="4"/>
        <v>323103</v>
      </c>
      <c r="P22" s="328" t="s">
        <v>585</v>
      </c>
    </row>
    <row r="23" spans="1:16" ht="15.75" customHeight="1">
      <c r="A23" s="325">
        <v>35002</v>
      </c>
      <c r="B23" s="325">
        <v>5311</v>
      </c>
      <c r="C23" s="325">
        <v>6122</v>
      </c>
      <c r="D23" s="75">
        <v>18</v>
      </c>
      <c r="E23" s="326" t="s">
        <v>586</v>
      </c>
      <c r="F23" s="126">
        <v>0</v>
      </c>
      <c r="G23" s="127">
        <v>253000</v>
      </c>
      <c r="H23" s="127"/>
      <c r="I23" s="314">
        <f t="shared" si="0"/>
        <v>253000</v>
      </c>
      <c r="J23" s="314">
        <f t="shared" si="1"/>
        <v>253000</v>
      </c>
      <c r="K23" s="324">
        <v>232764</v>
      </c>
      <c r="L23" s="314">
        <f t="shared" si="2"/>
        <v>253000</v>
      </c>
      <c r="M23" s="314">
        <f t="shared" si="6"/>
        <v>92.001581027668</v>
      </c>
      <c r="N23" s="324"/>
      <c r="O23" s="314">
        <f t="shared" si="4"/>
        <v>253000</v>
      </c>
      <c r="P23" s="328" t="s">
        <v>847</v>
      </c>
    </row>
    <row r="24" spans="1:16" ht="15.75" customHeight="1">
      <c r="A24" s="325">
        <v>34814</v>
      </c>
      <c r="B24" s="325">
        <v>6409</v>
      </c>
      <c r="C24" s="325">
        <v>6119</v>
      </c>
      <c r="D24" s="69">
        <v>19</v>
      </c>
      <c r="E24" s="326" t="s">
        <v>587</v>
      </c>
      <c r="F24" s="126">
        <v>0</v>
      </c>
      <c r="G24" s="127">
        <v>794120</v>
      </c>
      <c r="H24" s="127"/>
      <c r="I24" s="314">
        <f t="shared" si="0"/>
        <v>794120</v>
      </c>
      <c r="J24" s="314">
        <f t="shared" si="1"/>
        <v>794120</v>
      </c>
      <c r="K24" s="324">
        <v>794120</v>
      </c>
      <c r="L24" s="314">
        <f t="shared" si="2"/>
        <v>794120</v>
      </c>
      <c r="M24" s="314">
        <f t="shared" si="6"/>
        <v>100</v>
      </c>
      <c r="N24" s="324"/>
      <c r="O24" s="314">
        <f t="shared" si="4"/>
        <v>794120</v>
      </c>
      <c r="P24" s="328" t="s">
        <v>588</v>
      </c>
    </row>
    <row r="25" spans="1:16" ht="15.75" customHeight="1">
      <c r="A25" s="325">
        <v>35078</v>
      </c>
      <c r="B25" s="325">
        <v>6171</v>
      </c>
      <c r="C25" s="325">
        <v>6122</v>
      </c>
      <c r="D25" s="75">
        <v>20</v>
      </c>
      <c r="E25" s="326" t="s">
        <v>352</v>
      </c>
      <c r="F25" s="126">
        <v>0</v>
      </c>
      <c r="G25" s="127"/>
      <c r="H25" s="127"/>
      <c r="I25" s="314"/>
      <c r="J25" s="314">
        <v>400000</v>
      </c>
      <c r="K25" s="324">
        <v>384492</v>
      </c>
      <c r="L25" s="314"/>
      <c r="M25" s="314">
        <f t="shared" si="6"/>
        <v>96.123</v>
      </c>
      <c r="N25" s="324"/>
      <c r="O25" s="314"/>
      <c r="P25" s="328" t="s">
        <v>585</v>
      </c>
    </row>
    <row r="26" spans="1:16" ht="15.75" customHeight="1">
      <c r="A26" s="325">
        <v>31063</v>
      </c>
      <c r="B26" s="325">
        <v>2321</v>
      </c>
      <c r="C26" s="325">
        <v>6130</v>
      </c>
      <c r="D26" s="69">
        <v>21</v>
      </c>
      <c r="E26" s="326" t="s">
        <v>589</v>
      </c>
      <c r="F26" s="126">
        <v>0</v>
      </c>
      <c r="G26" s="127">
        <v>2000000</v>
      </c>
      <c r="H26" s="127"/>
      <c r="I26" s="314">
        <f t="shared" si="0"/>
        <v>2000000</v>
      </c>
      <c r="J26" s="314">
        <f t="shared" si="1"/>
        <v>2000000</v>
      </c>
      <c r="K26" s="324">
        <v>1112020</v>
      </c>
      <c r="L26" s="314">
        <f t="shared" si="2"/>
        <v>2000000</v>
      </c>
      <c r="M26" s="314">
        <f t="shared" si="6"/>
        <v>55.601</v>
      </c>
      <c r="N26" s="324"/>
      <c r="O26" s="314">
        <f t="shared" si="4"/>
        <v>2000000</v>
      </c>
      <c r="P26" s="328" t="s">
        <v>932</v>
      </c>
    </row>
    <row r="27" spans="1:16" ht="15.75" customHeight="1">
      <c r="A27" s="325">
        <v>34927</v>
      </c>
      <c r="B27" s="325">
        <v>2141</v>
      </c>
      <c r="C27" s="325">
        <v>6111</v>
      </c>
      <c r="D27" s="75">
        <v>22</v>
      </c>
      <c r="E27" s="326" t="s">
        <v>590</v>
      </c>
      <c r="F27" s="126">
        <v>0</v>
      </c>
      <c r="G27" s="127">
        <v>440000</v>
      </c>
      <c r="H27" s="127"/>
      <c r="I27" s="314">
        <f t="shared" si="0"/>
        <v>440000</v>
      </c>
      <c r="J27" s="314">
        <v>360000</v>
      </c>
      <c r="K27" s="324"/>
      <c r="L27" s="314">
        <f t="shared" si="2"/>
        <v>440000</v>
      </c>
      <c r="M27" s="314"/>
      <c r="N27" s="324"/>
      <c r="O27" s="314">
        <f t="shared" si="4"/>
        <v>440000</v>
      </c>
      <c r="P27" s="328" t="s">
        <v>825</v>
      </c>
    </row>
    <row r="28" spans="1:16" ht="15.75" customHeight="1">
      <c r="A28" s="325">
        <v>30753</v>
      </c>
      <c r="B28" s="325">
        <v>3639</v>
      </c>
      <c r="C28" s="325">
        <v>6130</v>
      </c>
      <c r="D28" s="69">
        <v>23</v>
      </c>
      <c r="E28" s="326" t="s">
        <v>591</v>
      </c>
      <c r="F28" s="126"/>
      <c r="G28" s="127">
        <v>2325736</v>
      </c>
      <c r="H28" s="127"/>
      <c r="I28" s="314">
        <f t="shared" si="0"/>
        <v>2325736</v>
      </c>
      <c r="J28" s="314">
        <v>1789850</v>
      </c>
      <c r="K28" s="324">
        <v>1789850</v>
      </c>
      <c r="L28" s="314">
        <f t="shared" si="2"/>
        <v>2325736</v>
      </c>
      <c r="M28" s="314">
        <f t="shared" si="6"/>
        <v>100</v>
      </c>
      <c r="N28" s="324"/>
      <c r="O28" s="314">
        <f t="shared" si="4"/>
        <v>2325736</v>
      </c>
      <c r="P28" s="328" t="s">
        <v>818</v>
      </c>
    </row>
    <row r="29" spans="1:22" s="147" customFormat="1" ht="15.75" customHeight="1" thickBot="1">
      <c r="A29" s="329">
        <v>34398</v>
      </c>
      <c r="B29" s="329">
        <v>3639</v>
      </c>
      <c r="C29" s="329">
        <v>6130</v>
      </c>
      <c r="D29" s="75">
        <v>24</v>
      </c>
      <c r="E29" s="330" t="s">
        <v>591</v>
      </c>
      <c r="F29" s="331">
        <v>0</v>
      </c>
      <c r="G29" s="332">
        <v>7470000</v>
      </c>
      <c r="H29" s="332"/>
      <c r="I29" s="314">
        <f t="shared" si="0"/>
        <v>7470000</v>
      </c>
      <c r="J29" s="314">
        <f>O29-255000</f>
        <v>7215000</v>
      </c>
      <c r="K29" s="324">
        <f>1883130+36050</f>
        <v>1919180</v>
      </c>
      <c r="L29" s="314">
        <f t="shared" si="2"/>
        <v>7470000</v>
      </c>
      <c r="M29" s="314">
        <f t="shared" si="6"/>
        <v>26.599861399861403</v>
      </c>
      <c r="N29" s="324"/>
      <c r="O29" s="314">
        <f t="shared" si="4"/>
        <v>7470000</v>
      </c>
      <c r="P29" s="333" t="s">
        <v>932</v>
      </c>
      <c r="Q29" s="146"/>
      <c r="R29" s="146"/>
      <c r="S29" s="146"/>
      <c r="T29" s="146"/>
      <c r="U29" s="146"/>
      <c r="V29" s="146"/>
    </row>
    <row r="30" spans="1:16" s="155" customFormat="1" ht="15.75" customHeight="1" thickBot="1">
      <c r="A30" s="148"/>
      <c r="B30" s="148"/>
      <c r="C30" s="148"/>
      <c r="D30" s="148"/>
      <c r="E30" s="334" t="s">
        <v>335</v>
      </c>
      <c r="F30" s="335">
        <f aca="true" t="shared" si="7" ref="F30:L30">SUM(F6:F29)</f>
        <v>4900</v>
      </c>
      <c r="G30" s="336">
        <f t="shared" si="7"/>
        <v>28888347</v>
      </c>
      <c r="H30" s="336">
        <f t="shared" si="7"/>
        <v>29103</v>
      </c>
      <c r="I30" s="336">
        <f t="shared" si="7"/>
        <v>28917450</v>
      </c>
      <c r="J30" s="336">
        <f t="shared" si="7"/>
        <v>29331564</v>
      </c>
      <c r="K30" s="336">
        <f>SUM(K6:K29)</f>
        <v>21573682.4</v>
      </c>
      <c r="L30" s="336">
        <f t="shared" si="7"/>
        <v>28917450</v>
      </c>
      <c r="M30" s="337">
        <f t="shared" si="6"/>
        <v>73.551081012932</v>
      </c>
      <c r="N30" s="337">
        <f>SUM(N6:N29)</f>
        <v>0</v>
      </c>
      <c r="O30" s="337">
        <f>SUM(O6:O29)</f>
        <v>28917450</v>
      </c>
      <c r="P30" s="221"/>
    </row>
    <row r="31" spans="1:16" s="67" customFormat="1" ht="15.75">
      <c r="A31" s="172"/>
      <c r="B31" s="172"/>
      <c r="C31" s="172"/>
      <c r="D31" s="172"/>
      <c r="E31" s="338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171"/>
    </row>
    <row r="32" spans="1:16" s="67" customFormat="1" ht="15.75">
      <c r="A32" s="172"/>
      <c r="B32" s="172"/>
      <c r="C32" s="172"/>
      <c r="D32" s="172"/>
      <c r="E32" s="338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171"/>
    </row>
    <row r="33" spans="6:16" ht="15.75"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171"/>
    </row>
    <row r="34" spans="6:16" ht="15.75"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171"/>
    </row>
    <row r="35" spans="1:17" ht="15.75">
      <c r="A35" s="224"/>
      <c r="B35" s="224"/>
      <c r="C35" s="224"/>
      <c r="D35" s="224"/>
      <c r="E35" s="224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341"/>
      <c r="Q35" s="342"/>
    </row>
    <row r="36" spans="1:22" s="96" customFormat="1" ht="15.75">
      <c r="A36" s="172"/>
      <c r="B36" s="172"/>
      <c r="C36" s="172"/>
      <c r="D36" s="172"/>
      <c r="E36" s="167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71"/>
      <c r="Q36" s="67"/>
      <c r="R36" s="67"/>
      <c r="S36" s="67"/>
      <c r="T36" s="67"/>
      <c r="U36" s="67"/>
      <c r="V36" s="67"/>
    </row>
    <row r="37" spans="1:16" ht="15.75">
      <c r="A37" s="224"/>
      <c r="B37" s="224"/>
      <c r="C37" s="224"/>
      <c r="D37" s="224"/>
      <c r="E37" s="224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225"/>
    </row>
    <row r="38" spans="1:16" ht="15.75">
      <c r="A38" s="224"/>
      <c r="B38" s="224"/>
      <c r="C38" s="224"/>
      <c r="D38" s="224"/>
      <c r="E38" s="224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225"/>
    </row>
    <row r="39" spans="1:16" ht="15.75">
      <c r="A39" s="224"/>
      <c r="B39" s="224"/>
      <c r="C39" s="224"/>
      <c r="D39" s="224"/>
      <c r="E39" s="224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225"/>
    </row>
    <row r="40" spans="1:16" ht="15.75">
      <c r="A40" s="224"/>
      <c r="B40" s="224"/>
      <c r="C40" s="224"/>
      <c r="D40" s="224"/>
      <c r="E40" s="224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225"/>
    </row>
    <row r="41" spans="1:16" ht="15.75">
      <c r="A41" s="224"/>
      <c r="B41" s="224"/>
      <c r="C41" s="224"/>
      <c r="D41" s="224"/>
      <c r="E41" s="224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225"/>
    </row>
    <row r="42" spans="1:16" ht="15.75">
      <c r="A42" s="224"/>
      <c r="B42" s="224"/>
      <c r="C42" s="224"/>
      <c r="D42" s="224"/>
      <c r="E42" s="224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225"/>
    </row>
    <row r="43" spans="6:22" s="226" customFormat="1" ht="12.75"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171"/>
      <c r="Q43" s="165"/>
      <c r="R43" s="165"/>
      <c r="S43" s="165"/>
      <c r="T43" s="165"/>
      <c r="U43" s="165"/>
      <c r="V43" s="165"/>
    </row>
    <row r="44" spans="1:16" s="165" customFormat="1" ht="8.25" customHeight="1">
      <c r="A44" s="168"/>
      <c r="B44" s="168"/>
      <c r="C44" s="168"/>
      <c r="D44" s="168"/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1"/>
    </row>
    <row r="45" spans="1:16" s="165" customFormat="1" ht="11.25" customHeight="1">
      <c r="A45" s="168"/>
      <c r="B45" s="168"/>
      <c r="C45" s="168"/>
      <c r="D45" s="168"/>
      <c r="E45" s="169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1"/>
    </row>
    <row r="46" spans="1:16" s="165" customFormat="1" ht="11.25" customHeight="1">
      <c r="A46" s="168"/>
      <c r="B46" s="168"/>
      <c r="C46" s="168"/>
      <c r="D46" s="168"/>
      <c r="E46" s="169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1"/>
    </row>
    <row r="47" spans="1:16" s="165" customFormat="1" ht="11.25" customHeight="1">
      <c r="A47" s="168"/>
      <c r="B47" s="168"/>
      <c r="C47" s="168"/>
      <c r="D47" s="168"/>
      <c r="E47" s="169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1"/>
    </row>
    <row r="48" spans="1:16" s="165" customFormat="1" ht="11.25" customHeight="1">
      <c r="A48" s="168"/>
      <c r="B48" s="168"/>
      <c r="C48" s="168"/>
      <c r="D48" s="168"/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1"/>
    </row>
    <row r="49" spans="1:16" s="165" customFormat="1" ht="11.25" customHeight="1">
      <c r="A49" s="168"/>
      <c r="B49" s="168"/>
      <c r="C49" s="168"/>
      <c r="D49" s="168"/>
      <c r="E49" s="16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1"/>
    </row>
    <row r="50" spans="1:16" s="165" customFormat="1" ht="11.25" customHeight="1">
      <c r="A50" s="168"/>
      <c r="B50" s="168"/>
      <c r="C50" s="168"/>
      <c r="D50" s="168"/>
      <c r="E50" s="169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1"/>
    </row>
    <row r="51" spans="1:16" s="165" customFormat="1" ht="11.25" customHeight="1">
      <c r="A51" s="168"/>
      <c r="B51" s="168"/>
      <c r="C51" s="168"/>
      <c r="D51" s="168"/>
      <c r="E51" s="169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1"/>
    </row>
    <row r="52" spans="1:16" s="165" customFormat="1" ht="17.25" customHeight="1">
      <c r="A52" s="168"/>
      <c r="B52" s="168"/>
      <c r="C52" s="168"/>
      <c r="D52" s="168"/>
      <c r="E52" s="169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1"/>
    </row>
    <row r="53" spans="1:16" s="165" customFormat="1" ht="43.5" customHeight="1">
      <c r="A53" s="228"/>
      <c r="B53" s="229"/>
      <c r="C53" s="230"/>
      <c r="D53" s="230"/>
      <c r="E53" s="231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</row>
    <row r="54" spans="1:16" s="165" customFormat="1" ht="30.75" customHeight="1">
      <c r="A54" s="161"/>
      <c r="B54" s="161"/>
      <c r="C54" s="161"/>
      <c r="D54" s="161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/>
    </row>
    <row r="55" spans="1:16" s="165" customFormat="1" ht="30.75" customHeight="1">
      <c r="A55" s="161"/>
      <c r="B55" s="161"/>
      <c r="C55" s="161"/>
      <c r="D55" s="161"/>
      <c r="E55" s="162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</row>
    <row r="56" spans="1:16" s="165" customFormat="1" ht="31.5" customHeight="1">
      <c r="A56" s="161"/>
      <c r="B56" s="161"/>
      <c r="C56" s="161"/>
      <c r="D56" s="161"/>
      <c r="E56" s="162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4"/>
    </row>
    <row r="57" spans="1:16" s="165" customFormat="1" ht="43.5" customHeight="1">
      <c r="A57" s="161"/>
      <c r="B57" s="161"/>
      <c r="C57" s="161"/>
      <c r="D57" s="161"/>
      <c r="E57" s="162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4"/>
    </row>
    <row r="58" spans="1:16" s="165" customFormat="1" ht="29.25" customHeight="1">
      <c r="A58" s="161"/>
      <c r="B58" s="161"/>
      <c r="C58" s="161"/>
      <c r="D58" s="161"/>
      <c r="E58" s="162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4"/>
    </row>
    <row r="59" spans="1:16" s="165" customFormat="1" ht="33.75" customHeight="1">
      <c r="A59" s="161"/>
      <c r="B59" s="161"/>
      <c r="C59" s="161"/>
      <c r="D59" s="161"/>
      <c r="E59" s="167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4"/>
    </row>
    <row r="60" spans="1:16" s="165" customFormat="1" ht="8.25" customHeight="1">
      <c r="A60" s="168"/>
      <c r="B60" s="168"/>
      <c r="C60" s="168"/>
      <c r="D60" s="168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1"/>
    </row>
    <row r="61" spans="1:16" s="165" customFormat="1" ht="8.25" customHeight="1">
      <c r="A61" s="168"/>
      <c r="B61" s="168"/>
      <c r="C61" s="168"/>
      <c r="D61" s="168"/>
      <c r="E61" s="169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1"/>
    </row>
    <row r="62" spans="1:16" s="165" customFormat="1" ht="8.25" customHeight="1">
      <c r="A62" s="168"/>
      <c r="B62" s="168"/>
      <c r="C62" s="168"/>
      <c r="D62" s="168"/>
      <c r="E62" s="169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1"/>
    </row>
    <row r="63" spans="1:16" s="165" customFormat="1" ht="8.25" customHeight="1">
      <c r="A63" s="168"/>
      <c r="B63" s="168"/>
      <c r="C63" s="168"/>
      <c r="D63" s="168"/>
      <c r="E63" s="16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1"/>
    </row>
    <row r="64" spans="1:16" s="165" customFormat="1" ht="8.25" customHeight="1">
      <c r="A64" s="168"/>
      <c r="B64" s="168"/>
      <c r="C64" s="168"/>
      <c r="D64" s="168"/>
      <c r="E64" s="169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1"/>
    </row>
    <row r="65" spans="1:23" s="67" customFormat="1" ht="15.75">
      <c r="A65" s="168"/>
      <c r="B65" s="172"/>
      <c r="C65" s="172"/>
      <c r="D65" s="172"/>
      <c r="E65" s="167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71"/>
      <c r="W65" s="72"/>
    </row>
    <row r="66" spans="1:23" s="67" customFormat="1" ht="15.75">
      <c r="A66" s="173"/>
      <c r="B66" s="173"/>
      <c r="C66" s="173"/>
      <c r="D66" s="173"/>
      <c r="E66" s="167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5"/>
      <c r="W66" s="72"/>
    </row>
    <row r="67" spans="1:23" s="67" customFormat="1" ht="12.75">
      <c r="A67" s="173"/>
      <c r="B67" s="173"/>
      <c r="C67" s="173"/>
      <c r="D67" s="173"/>
      <c r="E67" s="162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75"/>
      <c r="W67" s="72"/>
    </row>
    <row r="68" spans="1:23" s="67" customFormat="1" ht="15.75">
      <c r="A68" s="173"/>
      <c r="B68" s="173"/>
      <c r="C68" s="173"/>
      <c r="D68" s="173"/>
      <c r="E68" s="167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5"/>
      <c r="W68" s="72"/>
    </row>
    <row r="69" spans="1:23" s="67" customFormat="1" ht="15.75">
      <c r="A69" s="173"/>
      <c r="B69" s="173"/>
      <c r="C69" s="173"/>
      <c r="D69" s="173"/>
      <c r="E69" s="167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5"/>
      <c r="W69" s="72"/>
    </row>
    <row r="70" spans="1:23" s="67" customFormat="1" ht="15.75">
      <c r="A70" s="173"/>
      <c r="B70" s="173"/>
      <c r="C70" s="173"/>
      <c r="D70" s="173"/>
      <c r="E70" s="167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5"/>
      <c r="W70" s="72"/>
    </row>
    <row r="71" spans="2:23" s="67" customFormat="1" ht="15.75">
      <c r="B71" s="167"/>
      <c r="C71" s="176"/>
      <c r="D71" s="176"/>
      <c r="E71" s="177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8"/>
      <c r="W71" s="72"/>
    </row>
    <row r="72" spans="1:23" s="67" customFormat="1" ht="15.75">
      <c r="A72" s="173"/>
      <c r="B72" s="173"/>
      <c r="C72" s="173"/>
      <c r="D72" s="173"/>
      <c r="E72" s="167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5"/>
      <c r="W72" s="72"/>
    </row>
    <row r="73" spans="1:23" s="67" customFormat="1" ht="15.75">
      <c r="A73" s="172"/>
      <c r="B73" s="172"/>
      <c r="C73" s="172"/>
      <c r="D73" s="172"/>
      <c r="E73" s="16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71"/>
      <c r="W73" s="72"/>
    </row>
    <row r="74" spans="1:23" s="67" customFormat="1" ht="15.75">
      <c r="A74" s="172"/>
      <c r="B74" s="172"/>
      <c r="C74" s="172"/>
      <c r="D74" s="172"/>
      <c r="E74" s="167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71"/>
      <c r="W74" s="72"/>
    </row>
    <row r="75" spans="1:23" s="67" customFormat="1" ht="15.75">
      <c r="A75" s="172"/>
      <c r="B75" s="172"/>
      <c r="C75" s="172"/>
      <c r="D75" s="172"/>
      <c r="E75" s="167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71"/>
      <c r="W75" s="72"/>
    </row>
    <row r="76" spans="1:23" s="67" customFormat="1" ht="15.75">
      <c r="A76" s="172"/>
      <c r="B76" s="172"/>
      <c r="C76" s="172"/>
      <c r="D76" s="172"/>
      <c r="E76" s="167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71"/>
      <c r="W76" s="72"/>
    </row>
    <row r="77" spans="1:23" s="67" customFormat="1" ht="15.75">
      <c r="A77" s="172"/>
      <c r="B77" s="172"/>
      <c r="C77" s="172"/>
      <c r="D77" s="172"/>
      <c r="E77" s="167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71"/>
      <c r="W77" s="72"/>
    </row>
    <row r="78" spans="1:23" s="67" customFormat="1" ht="15.75">
      <c r="A78" s="172"/>
      <c r="B78" s="172"/>
      <c r="C78" s="172"/>
      <c r="D78" s="172"/>
      <c r="E78" s="167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71"/>
      <c r="W78" s="72"/>
    </row>
    <row r="79" spans="1:23" s="67" customFormat="1" ht="15.75">
      <c r="A79" s="172"/>
      <c r="B79" s="172"/>
      <c r="C79" s="172"/>
      <c r="D79" s="172"/>
      <c r="E79" s="167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71"/>
      <c r="W79" s="72"/>
    </row>
    <row r="80" ht="15.75">
      <c r="E80" s="167"/>
    </row>
    <row r="81" ht="15.75">
      <c r="E81" s="167"/>
    </row>
    <row r="82" ht="15.75">
      <c r="E82" s="167"/>
    </row>
    <row r="83" ht="15.75">
      <c r="E83" s="167"/>
    </row>
    <row r="84" ht="15.75">
      <c r="E84" s="167"/>
    </row>
    <row r="85" ht="15.75">
      <c r="E85" s="167"/>
    </row>
    <row r="86" ht="15.75">
      <c r="E86" s="167"/>
    </row>
    <row r="87" ht="15.75">
      <c r="E87" s="167"/>
    </row>
    <row r="88" ht="15.75">
      <c r="E88" s="167"/>
    </row>
    <row r="89" ht="15.75">
      <c r="E89" s="167"/>
    </row>
    <row r="90" ht="15.75">
      <c r="E90" s="167"/>
    </row>
    <row r="91" ht="15.75">
      <c r="E91" s="167"/>
    </row>
    <row r="92" ht="15.75">
      <c r="E92" s="167"/>
    </row>
    <row r="93" ht="15.75">
      <c r="E93" s="167"/>
    </row>
    <row r="94" ht="15.75">
      <c r="E94" s="167"/>
    </row>
    <row r="95" ht="15.75">
      <c r="E95" s="167"/>
    </row>
    <row r="96" ht="15.75">
      <c r="E96" s="167"/>
    </row>
    <row r="97" ht="15.75">
      <c r="E97" s="167"/>
    </row>
  </sheetData>
  <printOptions/>
  <pageMargins left="1.15" right="0.25" top="1.21" bottom="0.984251968503937" header="0.84" footer="0.5118110236220472"/>
  <pageSetup horizontalDpi="600" verticalDpi="600" orientation="landscape" paperSize="9" scale="70" r:id="rId2"/>
  <headerFooter alignWithMargins="0">
    <oddHeader>&amp;C&amp;"Arial,Tučné"&amp;12Schválený rozpočet investičních akcí na rok 2009 - individuální příslib&amp;RPříloha č. 8</oddHeader>
    <oddFooter>&amp;C10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96"/>
  <sheetViews>
    <sheetView zoomScaleSheetLayoutView="100" workbookViewId="0" topLeftCell="A1">
      <pane xSplit="5" ySplit="1" topLeftCell="F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34" sqref="E34"/>
    </sheetView>
  </sheetViews>
  <sheetFormatPr defaultColWidth="9.00390625" defaultRowHeight="12.75" outlineLevelCol="1"/>
  <cols>
    <col min="1" max="3" width="6.75390625" style="157" customWidth="1"/>
    <col min="4" max="4" width="5.125" style="157" customWidth="1"/>
    <col min="5" max="5" width="54.875" style="158" customWidth="1"/>
    <col min="6" max="6" width="16.00390625" style="179" customWidth="1"/>
    <col min="7" max="7" width="14.25390625" style="179" hidden="1" customWidth="1" outlineLevel="1"/>
    <col min="8" max="8" width="14.00390625" style="179" hidden="1" customWidth="1" outlineLevel="1"/>
    <col min="9" max="9" width="12.375" style="179" customWidth="1" collapsed="1"/>
    <col min="10" max="10" width="14.375" style="179" customWidth="1" outlineLevel="1"/>
    <col min="11" max="11" width="9.25390625" style="179" customWidth="1" outlineLevel="1"/>
    <col min="12" max="12" width="11.75390625" style="179" hidden="1" customWidth="1" outlineLevel="1"/>
    <col min="13" max="13" width="14.25390625" style="179" hidden="1" customWidth="1" outlineLevel="1"/>
    <col min="14" max="14" width="36.625" style="160" customWidth="1" collapsed="1"/>
    <col min="15" max="20" width="9.125" style="67" customWidth="1"/>
    <col min="21" max="16384" width="9.125" style="72" customWidth="1"/>
  </cols>
  <sheetData>
    <row r="1" spans="1:14" s="57" customFormat="1" ht="54.75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593</v>
      </c>
      <c r="G1" s="56" t="s">
        <v>594</v>
      </c>
      <c r="H1" s="56" t="s">
        <v>1000</v>
      </c>
      <c r="I1" s="56" t="s">
        <v>4</v>
      </c>
      <c r="J1" s="56" t="s">
        <v>5</v>
      </c>
      <c r="K1" s="56" t="s">
        <v>329</v>
      </c>
      <c r="L1" s="56" t="s">
        <v>276</v>
      </c>
      <c r="M1" s="56" t="s">
        <v>977</v>
      </c>
      <c r="N1" s="56" t="s">
        <v>327</v>
      </c>
    </row>
    <row r="2" spans="1:14" ht="15.75" hidden="1">
      <c r="A2" s="291">
        <v>34398</v>
      </c>
      <c r="B2" s="291">
        <v>3639</v>
      </c>
      <c r="C2" s="291">
        <v>6130</v>
      </c>
      <c r="D2" s="291"/>
      <c r="E2" s="292" t="s">
        <v>813</v>
      </c>
      <c r="F2" s="293"/>
      <c r="G2" s="294"/>
      <c r="H2" s="294"/>
      <c r="I2" s="294"/>
      <c r="J2" s="294"/>
      <c r="K2" s="294"/>
      <c r="L2" s="294"/>
      <c r="M2" s="294"/>
      <c r="N2" s="295"/>
    </row>
    <row r="3" spans="1:14" ht="15.75" hidden="1">
      <c r="A3" s="291"/>
      <c r="B3" s="291">
        <v>5311</v>
      </c>
      <c r="C3" s="291">
        <v>6122</v>
      </c>
      <c r="D3" s="291"/>
      <c r="E3" s="296" t="s">
        <v>814</v>
      </c>
      <c r="F3" s="297"/>
      <c r="G3" s="297"/>
      <c r="H3" s="297"/>
      <c r="I3" s="297"/>
      <c r="J3" s="297"/>
      <c r="K3" s="297"/>
      <c r="L3" s="297"/>
      <c r="M3" s="297"/>
      <c r="N3" s="298"/>
    </row>
    <row r="4" spans="1:14" ht="15.75" hidden="1">
      <c r="A4" s="291"/>
      <c r="B4" s="299">
        <v>5311</v>
      </c>
      <c r="C4" s="300">
        <v>6122</v>
      </c>
      <c r="D4" s="300"/>
      <c r="E4" s="301" t="s">
        <v>815</v>
      </c>
      <c r="F4" s="302"/>
      <c r="G4" s="297"/>
      <c r="H4" s="297"/>
      <c r="I4" s="297"/>
      <c r="J4" s="297"/>
      <c r="K4" s="297"/>
      <c r="L4" s="297"/>
      <c r="M4" s="297"/>
      <c r="N4" s="298"/>
    </row>
    <row r="5" spans="1:20" s="310" customFormat="1" ht="15.75">
      <c r="A5" s="303" t="s">
        <v>595</v>
      </c>
      <c r="B5" s="304"/>
      <c r="C5" s="305"/>
      <c r="D5" s="305"/>
      <c r="E5" s="306"/>
      <c r="F5" s="307"/>
      <c r="G5" s="307"/>
      <c r="H5" s="307"/>
      <c r="I5" s="307"/>
      <c r="J5" s="307"/>
      <c r="K5" s="307"/>
      <c r="L5" s="307"/>
      <c r="M5" s="307"/>
      <c r="N5" s="308"/>
      <c r="O5" s="309"/>
      <c r="P5" s="309"/>
      <c r="Q5" s="309"/>
      <c r="R5" s="309"/>
      <c r="S5" s="309"/>
      <c r="T5" s="309"/>
    </row>
    <row r="6" spans="1:20" s="346" customFormat="1" ht="15.75" customHeight="1">
      <c r="A6" s="69">
        <v>4971</v>
      </c>
      <c r="B6" s="69">
        <v>35490</v>
      </c>
      <c r="C6" s="69">
        <v>6359</v>
      </c>
      <c r="D6" s="69">
        <v>1</v>
      </c>
      <c r="E6" s="66" t="s">
        <v>596</v>
      </c>
      <c r="F6" s="343"/>
      <c r="G6" s="344">
        <v>266000</v>
      </c>
      <c r="H6" s="344"/>
      <c r="I6" s="320">
        <f>G6+H6</f>
        <v>266000</v>
      </c>
      <c r="J6" s="320">
        <v>266000</v>
      </c>
      <c r="K6" s="320">
        <f aca="true" t="shared" si="0" ref="K6:K18">J6/I6*100</f>
        <v>100</v>
      </c>
      <c r="L6" s="320"/>
      <c r="M6" s="320">
        <f aca="true" t="shared" si="1" ref="M6:M17">I6-L6</f>
        <v>266000</v>
      </c>
      <c r="N6" s="345" t="s">
        <v>832</v>
      </c>
      <c r="O6" s="165"/>
      <c r="P6" s="165"/>
      <c r="Q6" s="165"/>
      <c r="R6" s="165"/>
      <c r="S6" s="165"/>
      <c r="T6" s="165"/>
    </row>
    <row r="7" spans="1:20" s="346" customFormat="1" ht="15.75" customHeight="1">
      <c r="A7" s="75">
        <v>4970</v>
      </c>
      <c r="B7" s="75">
        <v>3549</v>
      </c>
      <c r="C7" s="75">
        <v>6359</v>
      </c>
      <c r="D7" s="75">
        <v>2</v>
      </c>
      <c r="E7" s="88" t="s">
        <v>597</v>
      </c>
      <c r="F7" s="347">
        <v>0</v>
      </c>
      <c r="G7" s="348">
        <v>184702</v>
      </c>
      <c r="H7" s="348"/>
      <c r="I7" s="320">
        <v>184702</v>
      </c>
      <c r="J7" s="320">
        <v>184702</v>
      </c>
      <c r="K7" s="320">
        <f t="shared" si="0"/>
        <v>100</v>
      </c>
      <c r="L7" s="320"/>
      <c r="M7" s="320">
        <f t="shared" si="1"/>
        <v>184702</v>
      </c>
      <c r="N7" s="345" t="s">
        <v>832</v>
      </c>
      <c r="O7" s="165"/>
      <c r="P7" s="165"/>
      <c r="Q7" s="165"/>
      <c r="R7" s="165"/>
      <c r="S7" s="165"/>
      <c r="T7" s="165"/>
    </row>
    <row r="8" spans="1:20" s="346" customFormat="1" ht="15.75" customHeight="1">
      <c r="A8" s="75">
        <v>4972</v>
      </c>
      <c r="B8" s="75">
        <v>3549</v>
      </c>
      <c r="C8" s="75">
        <v>6359</v>
      </c>
      <c r="D8" s="69">
        <v>3</v>
      </c>
      <c r="E8" s="88" t="s">
        <v>598</v>
      </c>
      <c r="F8" s="347">
        <v>0</v>
      </c>
      <c r="G8" s="348">
        <v>210000</v>
      </c>
      <c r="H8" s="348"/>
      <c r="I8" s="320">
        <f aca="true" t="shared" si="2" ref="I8:I15">G8+H8</f>
        <v>210000</v>
      </c>
      <c r="J8" s="320">
        <v>210000</v>
      </c>
      <c r="K8" s="320">
        <f t="shared" si="0"/>
        <v>100</v>
      </c>
      <c r="L8" s="320"/>
      <c r="M8" s="320">
        <f t="shared" si="1"/>
        <v>210000</v>
      </c>
      <c r="N8" s="345" t="s">
        <v>832</v>
      </c>
      <c r="O8" s="165"/>
      <c r="P8" s="165"/>
      <c r="Q8" s="165"/>
      <c r="R8" s="165"/>
      <c r="S8" s="165"/>
      <c r="T8" s="165"/>
    </row>
    <row r="9" spans="1:20" s="346" customFormat="1" ht="15.75" customHeight="1">
      <c r="A9" s="75">
        <v>4969</v>
      </c>
      <c r="B9" s="75">
        <v>3549</v>
      </c>
      <c r="C9" s="75">
        <v>6359</v>
      </c>
      <c r="D9" s="75">
        <v>4</v>
      </c>
      <c r="E9" s="349" t="s">
        <v>599</v>
      </c>
      <c r="F9" s="347">
        <v>0</v>
      </c>
      <c r="G9" s="348">
        <v>184135</v>
      </c>
      <c r="H9" s="348"/>
      <c r="I9" s="320">
        <f t="shared" si="2"/>
        <v>184135</v>
      </c>
      <c r="J9" s="320">
        <v>184135</v>
      </c>
      <c r="K9" s="320">
        <f t="shared" si="0"/>
        <v>100</v>
      </c>
      <c r="L9" s="320"/>
      <c r="M9" s="320">
        <f t="shared" si="1"/>
        <v>184135</v>
      </c>
      <c r="N9" s="345" t="s">
        <v>832</v>
      </c>
      <c r="O9" s="165"/>
      <c r="P9" s="165"/>
      <c r="Q9" s="165"/>
      <c r="R9" s="165"/>
      <c r="S9" s="165"/>
      <c r="T9" s="165"/>
    </row>
    <row r="10" spans="1:20" s="346" customFormat="1" ht="15.75" customHeight="1">
      <c r="A10" s="75">
        <v>5031</v>
      </c>
      <c r="B10" s="75">
        <v>3113</v>
      </c>
      <c r="C10" s="75">
        <v>6351</v>
      </c>
      <c r="D10" s="69">
        <v>5</v>
      </c>
      <c r="E10" s="349" t="s">
        <v>600</v>
      </c>
      <c r="F10" s="347">
        <v>0</v>
      </c>
      <c r="G10" s="348">
        <v>76619</v>
      </c>
      <c r="H10" s="348"/>
      <c r="I10" s="320">
        <f t="shared" si="2"/>
        <v>76619</v>
      </c>
      <c r="J10" s="320">
        <v>76619</v>
      </c>
      <c r="K10" s="320">
        <f t="shared" si="0"/>
        <v>100</v>
      </c>
      <c r="L10" s="320"/>
      <c r="M10" s="320">
        <f t="shared" si="1"/>
        <v>76619</v>
      </c>
      <c r="N10" s="345" t="s">
        <v>588</v>
      </c>
      <c r="O10" s="165"/>
      <c r="P10" s="165"/>
      <c r="Q10" s="165"/>
      <c r="R10" s="165"/>
      <c r="S10" s="165"/>
      <c r="T10" s="165"/>
    </row>
    <row r="11" spans="1:20" s="346" customFormat="1" ht="15.75" customHeight="1">
      <c r="A11" s="75">
        <v>5059</v>
      </c>
      <c r="B11" s="75">
        <v>3419</v>
      </c>
      <c r="C11" s="75">
        <v>6313</v>
      </c>
      <c r="D11" s="75">
        <v>6</v>
      </c>
      <c r="E11" s="349" t="s">
        <v>601</v>
      </c>
      <c r="F11" s="347">
        <v>0</v>
      </c>
      <c r="G11" s="348">
        <v>44999</v>
      </c>
      <c r="H11" s="348"/>
      <c r="I11" s="320">
        <f t="shared" si="2"/>
        <v>44999</v>
      </c>
      <c r="J11" s="320">
        <v>44999</v>
      </c>
      <c r="K11" s="320">
        <f t="shared" si="0"/>
        <v>100</v>
      </c>
      <c r="L11" s="320"/>
      <c r="M11" s="320">
        <f t="shared" si="1"/>
        <v>44999</v>
      </c>
      <c r="N11" s="345" t="s">
        <v>825</v>
      </c>
      <c r="O11" s="165"/>
      <c r="P11" s="165"/>
      <c r="Q11" s="165"/>
      <c r="R11" s="165"/>
      <c r="S11" s="165"/>
      <c r="T11" s="165"/>
    </row>
    <row r="12" spans="1:20" s="346" customFormat="1" ht="27" customHeight="1">
      <c r="A12" s="75">
        <v>4973</v>
      </c>
      <c r="B12" s="75">
        <v>3549</v>
      </c>
      <c r="C12" s="75">
        <v>6323</v>
      </c>
      <c r="D12" s="69">
        <v>7</v>
      </c>
      <c r="E12" s="88" t="s">
        <v>602</v>
      </c>
      <c r="F12" s="347">
        <v>0</v>
      </c>
      <c r="G12" s="348">
        <v>332000</v>
      </c>
      <c r="H12" s="348"/>
      <c r="I12" s="320">
        <f t="shared" si="2"/>
        <v>332000</v>
      </c>
      <c r="J12" s="320">
        <v>332000</v>
      </c>
      <c r="K12" s="320">
        <f t="shared" si="0"/>
        <v>100</v>
      </c>
      <c r="L12" s="320"/>
      <c r="M12" s="320">
        <f t="shared" si="1"/>
        <v>332000</v>
      </c>
      <c r="N12" s="345" t="s">
        <v>832</v>
      </c>
      <c r="O12" s="165"/>
      <c r="P12" s="165"/>
      <c r="Q12" s="165"/>
      <c r="R12" s="165"/>
      <c r="S12" s="165"/>
      <c r="T12" s="165"/>
    </row>
    <row r="13" spans="1:20" s="346" customFormat="1" ht="24.75" customHeight="1">
      <c r="A13" s="75">
        <v>5030</v>
      </c>
      <c r="B13" s="75">
        <v>4359</v>
      </c>
      <c r="C13" s="75">
        <v>6323</v>
      </c>
      <c r="D13" s="75">
        <v>8</v>
      </c>
      <c r="E13" s="88" t="s">
        <v>603</v>
      </c>
      <c r="F13" s="347">
        <v>0</v>
      </c>
      <c r="G13" s="348">
        <v>2500000</v>
      </c>
      <c r="H13" s="348"/>
      <c r="I13" s="320">
        <f t="shared" si="2"/>
        <v>2500000</v>
      </c>
      <c r="J13" s="320">
        <v>2500000</v>
      </c>
      <c r="K13" s="320">
        <f t="shared" si="0"/>
        <v>100</v>
      </c>
      <c r="L13" s="320"/>
      <c r="M13" s="320">
        <f t="shared" si="1"/>
        <v>2500000</v>
      </c>
      <c r="N13" s="345" t="s">
        <v>832</v>
      </c>
      <c r="O13" s="165"/>
      <c r="P13" s="165"/>
      <c r="Q13" s="165"/>
      <c r="R13" s="165"/>
      <c r="S13" s="165"/>
      <c r="T13" s="165"/>
    </row>
    <row r="14" spans="1:20" s="68" customFormat="1" ht="15.75" customHeight="1">
      <c r="A14" s="75">
        <v>4962</v>
      </c>
      <c r="B14" s="316">
        <v>3319</v>
      </c>
      <c r="C14" s="75">
        <v>6322</v>
      </c>
      <c r="D14" s="69">
        <v>9</v>
      </c>
      <c r="E14" s="322" t="s">
        <v>604</v>
      </c>
      <c r="F14" s="323"/>
      <c r="G14" s="324">
        <v>20000</v>
      </c>
      <c r="H14" s="324"/>
      <c r="I14" s="314">
        <f t="shared" si="2"/>
        <v>20000</v>
      </c>
      <c r="J14" s="314">
        <v>20000</v>
      </c>
      <c r="K14" s="320">
        <f t="shared" si="0"/>
        <v>100</v>
      </c>
      <c r="L14" s="320"/>
      <c r="M14" s="320">
        <f t="shared" si="1"/>
        <v>20000</v>
      </c>
      <c r="N14" s="350" t="s">
        <v>825</v>
      </c>
      <c r="O14" s="67"/>
      <c r="P14" s="67"/>
      <c r="Q14" s="67"/>
      <c r="R14" s="67"/>
      <c r="S14" s="67"/>
      <c r="T14" s="67"/>
    </row>
    <row r="15" spans="1:20" s="68" customFormat="1" ht="15.75" customHeight="1">
      <c r="A15" s="75">
        <v>5070</v>
      </c>
      <c r="B15" s="316">
        <v>3111</v>
      </c>
      <c r="C15" s="75">
        <v>6351</v>
      </c>
      <c r="D15" s="75">
        <v>10</v>
      </c>
      <c r="E15" s="322" t="s">
        <v>1083</v>
      </c>
      <c r="F15" s="323">
        <v>0</v>
      </c>
      <c r="G15" s="324">
        <v>0</v>
      </c>
      <c r="H15" s="324">
        <v>166268</v>
      </c>
      <c r="I15" s="314">
        <f t="shared" si="2"/>
        <v>166268</v>
      </c>
      <c r="J15" s="314">
        <v>166268</v>
      </c>
      <c r="K15" s="320">
        <f t="shared" si="0"/>
        <v>100</v>
      </c>
      <c r="L15" s="320"/>
      <c r="M15" s="320">
        <f t="shared" si="1"/>
        <v>166268</v>
      </c>
      <c r="N15" s="350" t="s">
        <v>588</v>
      </c>
      <c r="O15" s="67"/>
      <c r="P15" s="67"/>
      <c r="Q15" s="67"/>
      <c r="R15" s="67"/>
      <c r="S15" s="67"/>
      <c r="T15" s="67"/>
    </row>
    <row r="16" spans="1:20" s="68" customFormat="1" ht="15.75" customHeight="1">
      <c r="A16" s="75">
        <v>5032</v>
      </c>
      <c r="B16" s="316">
        <v>3111</v>
      </c>
      <c r="C16" s="75">
        <v>6351</v>
      </c>
      <c r="D16" s="69">
        <v>11</v>
      </c>
      <c r="E16" s="322" t="s">
        <v>605</v>
      </c>
      <c r="F16" s="323">
        <v>0</v>
      </c>
      <c r="G16" s="324">
        <v>150000</v>
      </c>
      <c r="H16" s="324"/>
      <c r="I16" s="314">
        <f>G16+H16+32369</f>
        <v>182369</v>
      </c>
      <c r="J16" s="314">
        <v>182369</v>
      </c>
      <c r="K16" s="320">
        <f t="shared" si="0"/>
        <v>100</v>
      </c>
      <c r="L16" s="320"/>
      <c r="M16" s="320">
        <f t="shared" si="1"/>
        <v>182369</v>
      </c>
      <c r="N16" s="350" t="s">
        <v>588</v>
      </c>
      <c r="O16" s="67"/>
      <c r="P16" s="67"/>
      <c r="Q16" s="67"/>
      <c r="R16" s="67"/>
      <c r="S16" s="67"/>
      <c r="T16" s="67"/>
    </row>
    <row r="17" spans="1:20" s="68" customFormat="1" ht="15.75" customHeight="1">
      <c r="A17" s="325">
        <v>4976</v>
      </c>
      <c r="B17" s="325">
        <v>3111</v>
      </c>
      <c r="C17" s="325">
        <v>6351</v>
      </c>
      <c r="D17" s="75">
        <v>12</v>
      </c>
      <c r="E17" s="351" t="s">
        <v>606</v>
      </c>
      <c r="F17" s="352">
        <v>0</v>
      </c>
      <c r="G17" s="353">
        <v>470000</v>
      </c>
      <c r="H17" s="353"/>
      <c r="I17" s="314">
        <f>G17+H17</f>
        <v>470000</v>
      </c>
      <c r="J17" s="314">
        <v>470000</v>
      </c>
      <c r="K17" s="320">
        <f t="shared" si="0"/>
        <v>100</v>
      </c>
      <c r="L17" s="320"/>
      <c r="M17" s="320">
        <f t="shared" si="1"/>
        <v>470000</v>
      </c>
      <c r="N17" s="350" t="s">
        <v>588</v>
      </c>
      <c r="O17" s="67"/>
      <c r="P17" s="67"/>
      <c r="Q17" s="67"/>
      <c r="R17" s="67"/>
      <c r="S17" s="67"/>
      <c r="T17" s="67"/>
    </row>
    <row r="18" spans="1:20" s="68" customFormat="1" ht="15.75" customHeight="1">
      <c r="A18" s="325">
        <v>5076</v>
      </c>
      <c r="B18" s="325">
        <v>3111</v>
      </c>
      <c r="C18" s="325">
        <v>6351</v>
      </c>
      <c r="D18" s="69">
        <v>13</v>
      </c>
      <c r="E18" s="351" t="s">
        <v>98</v>
      </c>
      <c r="F18" s="352">
        <v>0</v>
      </c>
      <c r="G18" s="353"/>
      <c r="H18" s="353"/>
      <c r="I18" s="314">
        <v>20000</v>
      </c>
      <c r="J18" s="314">
        <v>20000</v>
      </c>
      <c r="K18" s="320">
        <f t="shared" si="0"/>
        <v>100</v>
      </c>
      <c r="L18" s="320"/>
      <c r="M18" s="320"/>
      <c r="N18" s="350" t="s">
        <v>588</v>
      </c>
      <c r="O18" s="67"/>
      <c r="P18" s="67"/>
      <c r="Q18" s="67"/>
      <c r="R18" s="67"/>
      <c r="S18" s="67"/>
      <c r="T18" s="67"/>
    </row>
    <row r="19" spans="1:20" s="68" customFormat="1" ht="15.75" customHeight="1">
      <c r="A19" s="325">
        <v>5026</v>
      </c>
      <c r="B19" s="325">
        <v>4359</v>
      </c>
      <c r="C19" s="325">
        <v>6322</v>
      </c>
      <c r="D19" s="75">
        <v>14</v>
      </c>
      <c r="E19" s="351" t="s">
        <v>607</v>
      </c>
      <c r="F19" s="352">
        <v>0</v>
      </c>
      <c r="G19" s="353">
        <v>169717</v>
      </c>
      <c r="H19" s="353"/>
      <c r="I19" s="314">
        <f aca="true" t="shared" si="3" ref="I19:I28">G19+H19</f>
        <v>169717</v>
      </c>
      <c r="J19" s="314">
        <v>169717</v>
      </c>
      <c r="K19" s="320">
        <f aca="true" t="shared" si="4" ref="K19:K29">J19/I19*100</f>
        <v>100</v>
      </c>
      <c r="L19" s="320"/>
      <c r="M19" s="320">
        <f>I19-L19</f>
        <v>169717</v>
      </c>
      <c r="N19" s="350" t="s">
        <v>832</v>
      </c>
      <c r="O19" s="67"/>
      <c r="P19" s="67"/>
      <c r="Q19" s="67"/>
      <c r="R19" s="67"/>
      <c r="S19" s="67"/>
      <c r="T19" s="67"/>
    </row>
    <row r="20" spans="1:20" s="68" customFormat="1" ht="15.75" customHeight="1">
      <c r="A20" s="325">
        <v>4998</v>
      </c>
      <c r="B20" s="325">
        <v>3421</v>
      </c>
      <c r="C20" s="325">
        <v>6313</v>
      </c>
      <c r="D20" s="69">
        <v>15</v>
      </c>
      <c r="E20" s="351" t="s">
        <v>608</v>
      </c>
      <c r="F20" s="352">
        <v>0</v>
      </c>
      <c r="G20" s="353">
        <v>890000</v>
      </c>
      <c r="H20" s="353"/>
      <c r="I20" s="314">
        <f t="shared" si="3"/>
        <v>890000</v>
      </c>
      <c r="J20" s="314">
        <v>889128</v>
      </c>
      <c r="K20" s="320">
        <f t="shared" si="4"/>
        <v>99.90202247191012</v>
      </c>
      <c r="L20" s="320"/>
      <c r="M20" s="320">
        <f>I20-L20</f>
        <v>890000</v>
      </c>
      <c r="N20" s="350" t="s">
        <v>932</v>
      </c>
      <c r="O20" s="67"/>
      <c r="P20" s="67"/>
      <c r="Q20" s="67"/>
      <c r="R20" s="67"/>
      <c r="S20" s="67"/>
      <c r="T20" s="67"/>
    </row>
    <row r="21" spans="1:20" s="68" customFormat="1" ht="15.75" customHeight="1">
      <c r="A21" s="325">
        <v>5083</v>
      </c>
      <c r="B21" s="325">
        <v>3543</v>
      </c>
      <c r="C21" s="325">
        <v>6379</v>
      </c>
      <c r="D21" s="75">
        <v>16</v>
      </c>
      <c r="E21" s="351" t="s">
        <v>809</v>
      </c>
      <c r="F21" s="352">
        <v>0</v>
      </c>
      <c r="G21" s="353"/>
      <c r="H21" s="353"/>
      <c r="I21" s="314">
        <v>40000</v>
      </c>
      <c r="J21" s="314">
        <v>40000</v>
      </c>
      <c r="K21" s="320">
        <f t="shared" si="4"/>
        <v>100</v>
      </c>
      <c r="L21" s="320"/>
      <c r="M21" s="320"/>
      <c r="N21" s="328" t="s">
        <v>825</v>
      </c>
      <c r="O21" s="67"/>
      <c r="P21" s="67"/>
      <c r="Q21" s="67"/>
      <c r="R21" s="67"/>
      <c r="S21" s="67"/>
      <c r="T21" s="67"/>
    </row>
    <row r="22" spans="1:22" ht="24" customHeight="1">
      <c r="A22" s="75">
        <v>34975</v>
      </c>
      <c r="B22" s="75">
        <v>5311</v>
      </c>
      <c r="C22" s="75">
        <v>6313</v>
      </c>
      <c r="D22" s="69">
        <v>17</v>
      </c>
      <c r="E22" s="349" t="s">
        <v>99</v>
      </c>
      <c r="F22" s="398">
        <v>0</v>
      </c>
      <c r="G22" s="399">
        <v>145814</v>
      </c>
      <c r="H22" s="399"/>
      <c r="I22" s="320">
        <f t="shared" si="3"/>
        <v>145814</v>
      </c>
      <c r="J22" s="320">
        <v>145814</v>
      </c>
      <c r="K22" s="320">
        <f t="shared" si="4"/>
        <v>100</v>
      </c>
      <c r="L22" s="314" t="e">
        <f>O22</f>
        <v>#VALUE!</v>
      </c>
      <c r="M22" s="314">
        <f>K22/I22*100</f>
        <v>0.06858052038898871</v>
      </c>
      <c r="N22" s="319" t="s">
        <v>832</v>
      </c>
      <c r="O22" s="314" t="e">
        <f>I22-N22</f>
        <v>#VALUE!</v>
      </c>
      <c r="P22" s="328" t="s">
        <v>832</v>
      </c>
      <c r="U22" s="67"/>
      <c r="V22" s="67"/>
    </row>
    <row r="23" spans="1:20" s="68" customFormat="1" ht="15.75" customHeight="1">
      <c r="A23" s="325">
        <v>5053</v>
      </c>
      <c r="B23" s="325">
        <v>3421</v>
      </c>
      <c r="C23" s="325">
        <v>6322</v>
      </c>
      <c r="D23" s="75">
        <v>18</v>
      </c>
      <c r="E23" s="351" t="s">
        <v>791</v>
      </c>
      <c r="F23" s="352">
        <v>0</v>
      </c>
      <c r="G23" s="353">
        <v>1000000</v>
      </c>
      <c r="H23" s="353"/>
      <c r="I23" s="314">
        <f t="shared" si="3"/>
        <v>1000000</v>
      </c>
      <c r="J23" s="314">
        <v>1000000</v>
      </c>
      <c r="K23" s="320">
        <f t="shared" si="4"/>
        <v>100</v>
      </c>
      <c r="L23" s="320"/>
      <c r="M23" s="320">
        <f aca="true" t="shared" si="5" ref="M23:M28">I23-L23</f>
        <v>1000000</v>
      </c>
      <c r="N23" s="350" t="s">
        <v>825</v>
      </c>
      <c r="O23" s="67"/>
      <c r="P23" s="67"/>
      <c r="Q23" s="67"/>
      <c r="R23" s="67"/>
      <c r="S23" s="67"/>
      <c r="T23" s="67"/>
    </row>
    <row r="24" spans="1:20" s="346" customFormat="1" ht="25.5">
      <c r="A24" s="75">
        <v>59</v>
      </c>
      <c r="B24" s="75">
        <v>2321</v>
      </c>
      <c r="C24" s="75">
        <v>6349</v>
      </c>
      <c r="D24" s="69">
        <v>19</v>
      </c>
      <c r="E24" s="88" t="s">
        <v>792</v>
      </c>
      <c r="F24" s="347">
        <v>0</v>
      </c>
      <c r="G24" s="348">
        <v>520000</v>
      </c>
      <c r="H24" s="348"/>
      <c r="I24" s="320">
        <f t="shared" si="3"/>
        <v>520000</v>
      </c>
      <c r="J24" s="320">
        <v>520000</v>
      </c>
      <c r="K24" s="320">
        <f t="shared" si="4"/>
        <v>100</v>
      </c>
      <c r="L24" s="320"/>
      <c r="M24" s="320">
        <f t="shared" si="5"/>
        <v>520000</v>
      </c>
      <c r="N24" s="345" t="s">
        <v>793</v>
      </c>
      <c r="O24" s="165"/>
      <c r="P24" s="165"/>
      <c r="Q24" s="165"/>
      <c r="R24" s="165"/>
      <c r="S24" s="165"/>
      <c r="T24" s="165"/>
    </row>
    <row r="25" spans="1:20" s="346" customFormat="1" ht="25.5" customHeight="1">
      <c r="A25" s="75">
        <v>4968</v>
      </c>
      <c r="B25" s="75">
        <v>3549</v>
      </c>
      <c r="C25" s="75">
        <v>6359</v>
      </c>
      <c r="D25" s="75">
        <v>20</v>
      </c>
      <c r="E25" s="349" t="s">
        <v>794</v>
      </c>
      <c r="F25" s="347">
        <v>0</v>
      </c>
      <c r="G25" s="348">
        <v>500000</v>
      </c>
      <c r="H25" s="348"/>
      <c r="I25" s="320">
        <f t="shared" si="3"/>
        <v>500000</v>
      </c>
      <c r="J25" s="320">
        <v>500000</v>
      </c>
      <c r="K25" s="320">
        <f t="shared" si="4"/>
        <v>100</v>
      </c>
      <c r="L25" s="320"/>
      <c r="M25" s="320">
        <f t="shared" si="5"/>
        <v>500000</v>
      </c>
      <c r="N25" s="345" t="s">
        <v>832</v>
      </c>
      <c r="O25" s="165"/>
      <c r="P25" s="165"/>
      <c r="Q25" s="165"/>
      <c r="R25" s="165"/>
      <c r="S25" s="165"/>
      <c r="T25" s="165"/>
    </row>
    <row r="26" spans="1:20" s="346" customFormat="1" ht="26.25" customHeight="1">
      <c r="A26" s="75">
        <v>5035</v>
      </c>
      <c r="B26" s="75">
        <v>3113</v>
      </c>
      <c r="C26" s="75">
        <v>6351</v>
      </c>
      <c r="D26" s="69">
        <v>21</v>
      </c>
      <c r="E26" s="349" t="s">
        <v>795</v>
      </c>
      <c r="F26" s="347">
        <v>0</v>
      </c>
      <c r="G26" s="348">
        <v>214200</v>
      </c>
      <c r="H26" s="348"/>
      <c r="I26" s="320">
        <f t="shared" si="3"/>
        <v>214200</v>
      </c>
      <c r="J26" s="320">
        <v>214200</v>
      </c>
      <c r="K26" s="320">
        <f t="shared" si="4"/>
        <v>100</v>
      </c>
      <c r="L26" s="320"/>
      <c r="M26" s="320">
        <f t="shared" si="5"/>
        <v>214200</v>
      </c>
      <c r="N26" s="345" t="s">
        <v>588</v>
      </c>
      <c r="O26" s="165"/>
      <c r="P26" s="165"/>
      <c r="Q26" s="165"/>
      <c r="R26" s="165"/>
      <c r="S26" s="165"/>
      <c r="T26" s="165"/>
    </row>
    <row r="27" spans="1:20" s="346" customFormat="1" ht="15.75" customHeight="1">
      <c r="A27" s="75">
        <v>5001</v>
      </c>
      <c r="B27" s="75">
        <v>3113</v>
      </c>
      <c r="C27" s="75">
        <v>6351</v>
      </c>
      <c r="D27" s="75">
        <v>22</v>
      </c>
      <c r="E27" s="349" t="s">
        <v>796</v>
      </c>
      <c r="F27" s="347">
        <v>0</v>
      </c>
      <c r="G27" s="348">
        <v>191793</v>
      </c>
      <c r="H27" s="348"/>
      <c r="I27" s="320">
        <f t="shared" si="3"/>
        <v>191793</v>
      </c>
      <c r="J27" s="320">
        <v>191793</v>
      </c>
      <c r="K27" s="319">
        <f t="shared" si="4"/>
        <v>100</v>
      </c>
      <c r="L27" s="319"/>
      <c r="M27" s="320">
        <f t="shared" si="5"/>
        <v>191793</v>
      </c>
      <c r="N27" s="345" t="s">
        <v>588</v>
      </c>
      <c r="O27" s="165"/>
      <c r="P27" s="165"/>
      <c r="Q27" s="165"/>
      <c r="R27" s="165"/>
      <c r="S27" s="165"/>
      <c r="T27" s="165"/>
    </row>
    <row r="28" spans="1:14" ht="15.75" customHeight="1" thickBot="1">
      <c r="A28" s="291">
        <v>4999</v>
      </c>
      <c r="B28" s="291">
        <v>3113</v>
      </c>
      <c r="C28" s="291">
        <v>6351</v>
      </c>
      <c r="D28" s="69">
        <v>23</v>
      </c>
      <c r="E28" s="354" t="s">
        <v>316</v>
      </c>
      <c r="F28" s="120">
        <v>0</v>
      </c>
      <c r="G28" s="121">
        <v>323680</v>
      </c>
      <c r="H28" s="121"/>
      <c r="I28" s="121">
        <f t="shared" si="3"/>
        <v>323680</v>
      </c>
      <c r="J28" s="121">
        <v>323680</v>
      </c>
      <c r="K28" s="319">
        <f t="shared" si="4"/>
        <v>100</v>
      </c>
      <c r="L28" s="319"/>
      <c r="M28" s="320">
        <f t="shared" si="5"/>
        <v>323680</v>
      </c>
      <c r="N28" s="345" t="s">
        <v>588</v>
      </c>
    </row>
    <row r="29" spans="1:14" s="155" customFormat="1" ht="15.75" customHeight="1" thickBot="1">
      <c r="A29" s="148"/>
      <c r="B29" s="148"/>
      <c r="C29" s="148"/>
      <c r="D29" s="148"/>
      <c r="E29" s="334" t="s">
        <v>335</v>
      </c>
      <c r="F29" s="335">
        <f>F6+F28</f>
        <v>0</v>
      </c>
      <c r="G29" s="336">
        <f>SUM(G6:G28)</f>
        <v>8393659</v>
      </c>
      <c r="H29" s="336">
        <f>SUM(H6:H28)</f>
        <v>166268</v>
      </c>
      <c r="I29" s="336">
        <f>SUM(I6:I28)</f>
        <v>8652296</v>
      </c>
      <c r="J29" s="336">
        <f>SUM(J6:J28)</f>
        <v>8651424</v>
      </c>
      <c r="K29" s="337">
        <f t="shared" si="4"/>
        <v>99.98992175024988</v>
      </c>
      <c r="L29" s="337" t="e">
        <f>SUM(L6:L28)</f>
        <v>#VALUE!</v>
      </c>
      <c r="M29" s="337">
        <f>SUM(M6:M28)</f>
        <v>8446482.06858052</v>
      </c>
      <c r="N29" s="221"/>
    </row>
    <row r="30" spans="1:14" s="67" customFormat="1" ht="15.75">
      <c r="A30" s="172"/>
      <c r="B30" s="172"/>
      <c r="C30" s="172"/>
      <c r="D30" s="172"/>
      <c r="E30" s="338"/>
      <c r="F30" s="339"/>
      <c r="G30" s="339"/>
      <c r="H30" s="339"/>
      <c r="I30" s="339"/>
      <c r="J30" s="339"/>
      <c r="K30" s="339"/>
      <c r="L30" s="339"/>
      <c r="M30" s="339"/>
      <c r="N30" s="171"/>
    </row>
    <row r="31" spans="1:14" s="67" customFormat="1" ht="15.75">
      <c r="A31" s="172"/>
      <c r="B31" s="172"/>
      <c r="C31" s="172"/>
      <c r="D31" s="172"/>
      <c r="E31" s="338"/>
      <c r="F31" s="339"/>
      <c r="G31" s="339"/>
      <c r="H31" s="339"/>
      <c r="I31" s="339"/>
      <c r="J31" s="339"/>
      <c r="K31" s="339"/>
      <c r="L31" s="339"/>
      <c r="M31" s="339"/>
      <c r="N31" s="171"/>
    </row>
    <row r="32" spans="6:14" ht="15.75">
      <c r="F32" s="340"/>
      <c r="G32" s="340"/>
      <c r="H32" s="340"/>
      <c r="I32" s="340"/>
      <c r="J32" s="340"/>
      <c r="K32" s="340"/>
      <c r="L32" s="340"/>
      <c r="M32" s="340"/>
      <c r="N32" s="171"/>
    </row>
    <row r="33" spans="6:14" ht="15.75">
      <c r="F33" s="340"/>
      <c r="G33" s="340"/>
      <c r="H33" s="340"/>
      <c r="I33" s="340"/>
      <c r="J33" s="340"/>
      <c r="K33" s="340"/>
      <c r="L33" s="340"/>
      <c r="M33" s="340"/>
      <c r="N33" s="171"/>
    </row>
    <row r="34" spans="1:15" ht="15.75">
      <c r="A34" s="224"/>
      <c r="B34" s="224"/>
      <c r="C34" s="224"/>
      <c r="D34" s="224"/>
      <c r="E34" s="224"/>
      <c r="F34" s="170"/>
      <c r="G34" s="170"/>
      <c r="H34" s="170"/>
      <c r="I34" s="170"/>
      <c r="J34" s="170"/>
      <c r="K34" s="170"/>
      <c r="L34" s="170"/>
      <c r="M34" s="170"/>
      <c r="N34" s="341"/>
      <c r="O34" s="342"/>
    </row>
    <row r="35" spans="1:20" s="96" customFormat="1" ht="15.75">
      <c r="A35" s="172"/>
      <c r="B35" s="172"/>
      <c r="C35" s="172"/>
      <c r="D35" s="172"/>
      <c r="E35" s="167"/>
      <c r="F35" s="159"/>
      <c r="G35" s="159"/>
      <c r="H35" s="159"/>
      <c r="I35" s="159"/>
      <c r="J35" s="159"/>
      <c r="K35" s="159"/>
      <c r="L35" s="159"/>
      <c r="M35" s="159"/>
      <c r="N35" s="171"/>
      <c r="O35" s="67"/>
      <c r="P35" s="67"/>
      <c r="Q35" s="67"/>
      <c r="R35" s="67"/>
      <c r="S35" s="67"/>
      <c r="T35" s="67"/>
    </row>
    <row r="36" spans="1:14" ht="15.75">
      <c r="A36" s="224"/>
      <c r="B36" s="224"/>
      <c r="C36" s="224"/>
      <c r="D36" s="224"/>
      <c r="E36" s="224"/>
      <c r="F36" s="170"/>
      <c r="G36" s="170"/>
      <c r="H36" s="170"/>
      <c r="I36" s="170"/>
      <c r="J36" s="170"/>
      <c r="K36" s="170"/>
      <c r="L36" s="170"/>
      <c r="M36" s="170"/>
      <c r="N36" s="225"/>
    </row>
    <row r="37" spans="1:14" ht="15.75">
      <c r="A37" s="224"/>
      <c r="B37" s="224"/>
      <c r="C37" s="224"/>
      <c r="D37" s="224"/>
      <c r="E37" s="224" t="s">
        <v>460</v>
      </c>
      <c r="F37" s="170"/>
      <c r="G37" s="170"/>
      <c r="H37" s="170"/>
      <c r="I37" s="170"/>
      <c r="J37" s="170"/>
      <c r="K37" s="170"/>
      <c r="L37" s="170"/>
      <c r="M37" s="170"/>
      <c r="N37" s="225"/>
    </row>
    <row r="38" spans="1:14" ht="15.75">
      <c r="A38" s="224"/>
      <c r="B38" s="224"/>
      <c r="C38" s="224"/>
      <c r="D38" s="224"/>
      <c r="E38" s="224"/>
      <c r="F38" s="170"/>
      <c r="G38" s="170"/>
      <c r="H38" s="170"/>
      <c r="I38" s="170"/>
      <c r="J38" s="170"/>
      <c r="K38" s="170"/>
      <c r="L38" s="170"/>
      <c r="M38" s="170"/>
      <c r="N38" s="225"/>
    </row>
    <row r="39" spans="1:14" ht="15.75">
      <c r="A39" s="224"/>
      <c r="B39" s="224"/>
      <c r="C39" s="224"/>
      <c r="D39" s="224"/>
      <c r="E39" s="224"/>
      <c r="F39" s="170"/>
      <c r="G39" s="170"/>
      <c r="H39" s="170"/>
      <c r="I39" s="170"/>
      <c r="J39" s="170"/>
      <c r="K39" s="170"/>
      <c r="L39" s="170"/>
      <c r="M39" s="170"/>
      <c r="N39" s="225"/>
    </row>
    <row r="40" spans="1:14" ht="15.75">
      <c r="A40" s="224"/>
      <c r="B40" s="224"/>
      <c r="C40" s="224"/>
      <c r="D40" s="224"/>
      <c r="E40" s="224"/>
      <c r="F40" s="170"/>
      <c r="G40" s="170"/>
      <c r="H40" s="170"/>
      <c r="I40" s="170"/>
      <c r="J40" s="170"/>
      <c r="K40" s="170"/>
      <c r="L40" s="170"/>
      <c r="M40" s="170"/>
      <c r="N40" s="225"/>
    </row>
    <row r="41" spans="1:14" ht="15.75">
      <c r="A41" s="224"/>
      <c r="B41" s="224"/>
      <c r="C41" s="224"/>
      <c r="D41" s="224"/>
      <c r="E41" s="224"/>
      <c r="F41" s="170"/>
      <c r="G41" s="170"/>
      <c r="H41" s="170"/>
      <c r="I41" s="170"/>
      <c r="J41" s="170"/>
      <c r="K41" s="170"/>
      <c r="L41" s="170"/>
      <c r="M41" s="170"/>
      <c r="N41" s="225"/>
    </row>
    <row r="42" spans="6:20" s="226" customFormat="1" ht="12.75">
      <c r="F42" s="227"/>
      <c r="G42" s="227"/>
      <c r="H42" s="227"/>
      <c r="I42" s="227"/>
      <c r="J42" s="227"/>
      <c r="K42" s="227"/>
      <c r="L42" s="227"/>
      <c r="M42" s="227"/>
      <c r="N42" s="171"/>
      <c r="O42" s="165"/>
      <c r="P42" s="165"/>
      <c r="Q42" s="165"/>
      <c r="R42" s="165"/>
      <c r="S42" s="165"/>
      <c r="T42" s="165"/>
    </row>
    <row r="43" spans="1:14" s="165" customFormat="1" ht="8.25" customHeight="1">
      <c r="A43" s="168"/>
      <c r="B43" s="168"/>
      <c r="C43" s="168"/>
      <c r="D43" s="168"/>
      <c r="E43" s="169"/>
      <c r="F43" s="170"/>
      <c r="G43" s="170"/>
      <c r="H43" s="170"/>
      <c r="I43" s="170"/>
      <c r="J43" s="170"/>
      <c r="K43" s="170"/>
      <c r="L43" s="170"/>
      <c r="M43" s="170"/>
      <c r="N43" s="171"/>
    </row>
    <row r="44" spans="1:14" s="165" customFormat="1" ht="11.25" customHeight="1">
      <c r="A44" s="168"/>
      <c r="B44" s="168"/>
      <c r="C44" s="168"/>
      <c r="D44" s="168"/>
      <c r="E44" s="169"/>
      <c r="F44" s="170"/>
      <c r="G44" s="170"/>
      <c r="H44" s="170"/>
      <c r="I44" s="170"/>
      <c r="J44" s="170"/>
      <c r="K44" s="170"/>
      <c r="L44" s="170"/>
      <c r="M44" s="170"/>
      <c r="N44" s="171"/>
    </row>
    <row r="45" spans="1:14" s="165" customFormat="1" ht="11.25" customHeight="1">
      <c r="A45" s="168"/>
      <c r="B45" s="168"/>
      <c r="C45" s="168"/>
      <c r="D45" s="168"/>
      <c r="E45" s="169"/>
      <c r="F45" s="170"/>
      <c r="G45" s="170"/>
      <c r="H45" s="170"/>
      <c r="I45" s="170"/>
      <c r="J45" s="170"/>
      <c r="K45" s="170"/>
      <c r="L45" s="170"/>
      <c r="M45" s="170"/>
      <c r="N45" s="171"/>
    </row>
    <row r="46" spans="1:14" s="165" customFormat="1" ht="11.25" customHeight="1">
      <c r="A46" s="168"/>
      <c r="B46" s="168"/>
      <c r="C46" s="168"/>
      <c r="D46" s="168"/>
      <c r="E46" s="169"/>
      <c r="F46" s="170"/>
      <c r="G46" s="170"/>
      <c r="H46" s="170"/>
      <c r="I46" s="170"/>
      <c r="J46" s="170"/>
      <c r="K46" s="170"/>
      <c r="L46" s="170"/>
      <c r="M46" s="170"/>
      <c r="N46" s="171"/>
    </row>
    <row r="47" spans="1:14" s="165" customFormat="1" ht="11.25" customHeight="1">
      <c r="A47" s="168"/>
      <c r="B47" s="168"/>
      <c r="C47" s="168"/>
      <c r="D47" s="168"/>
      <c r="E47" s="169"/>
      <c r="F47" s="170"/>
      <c r="G47" s="170"/>
      <c r="H47" s="170"/>
      <c r="I47" s="170"/>
      <c r="J47" s="170"/>
      <c r="K47" s="170"/>
      <c r="L47" s="170"/>
      <c r="M47" s="170"/>
      <c r="N47" s="171"/>
    </row>
    <row r="48" spans="1:14" s="165" customFormat="1" ht="11.25" customHeight="1">
      <c r="A48" s="168"/>
      <c r="B48" s="168"/>
      <c r="C48" s="168"/>
      <c r="D48" s="168"/>
      <c r="E48" s="169"/>
      <c r="F48" s="170"/>
      <c r="G48" s="170"/>
      <c r="H48" s="170"/>
      <c r="I48" s="170"/>
      <c r="J48" s="170"/>
      <c r="K48" s="170"/>
      <c r="L48" s="170"/>
      <c r="M48" s="170"/>
      <c r="N48" s="171"/>
    </row>
    <row r="49" spans="1:14" s="165" customFormat="1" ht="11.25" customHeight="1">
      <c r="A49" s="168"/>
      <c r="B49" s="168"/>
      <c r="C49" s="168"/>
      <c r="D49" s="168"/>
      <c r="E49" s="169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165" customFormat="1" ht="11.25" customHeight="1">
      <c r="A50" s="168"/>
      <c r="B50" s="168"/>
      <c r="C50" s="168"/>
      <c r="D50" s="168"/>
      <c r="E50" s="169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14" s="165" customFormat="1" ht="17.25" customHeight="1">
      <c r="A51" s="168"/>
      <c r="B51" s="168"/>
      <c r="C51" s="168"/>
      <c r="D51" s="168"/>
      <c r="E51" s="169"/>
      <c r="F51" s="170"/>
      <c r="G51" s="170"/>
      <c r="H51" s="170"/>
      <c r="I51" s="170"/>
      <c r="J51" s="170"/>
      <c r="K51" s="170"/>
      <c r="L51" s="170"/>
      <c r="M51" s="170"/>
      <c r="N51" s="171"/>
    </row>
    <row r="52" spans="1:14" s="165" customFormat="1" ht="43.5" customHeight="1">
      <c r="A52" s="228"/>
      <c r="B52" s="229"/>
      <c r="C52" s="230"/>
      <c r="D52" s="230"/>
      <c r="E52" s="231"/>
      <c r="F52" s="232"/>
      <c r="G52" s="232"/>
      <c r="H52" s="232"/>
      <c r="I52" s="232"/>
      <c r="J52" s="232"/>
      <c r="K52" s="232"/>
      <c r="L52" s="232"/>
      <c r="M52" s="232"/>
      <c r="N52" s="233"/>
    </row>
    <row r="53" spans="1:14" s="165" customFormat="1" ht="30.75" customHeight="1">
      <c r="A53" s="161"/>
      <c r="B53" s="161"/>
      <c r="C53" s="161"/>
      <c r="D53" s="161"/>
      <c r="E53" s="162"/>
      <c r="F53" s="163"/>
      <c r="G53" s="163"/>
      <c r="H53" s="163"/>
      <c r="I53" s="163"/>
      <c r="J53" s="163"/>
      <c r="K53" s="163"/>
      <c r="L53" s="163"/>
      <c r="M53" s="163"/>
      <c r="N53" s="164"/>
    </row>
    <row r="54" spans="1:14" s="165" customFormat="1" ht="30.75" customHeight="1">
      <c r="A54" s="161"/>
      <c r="B54" s="161"/>
      <c r="C54" s="161"/>
      <c r="D54" s="161"/>
      <c r="E54" s="162"/>
      <c r="F54" s="163"/>
      <c r="G54" s="163"/>
      <c r="H54" s="163"/>
      <c r="I54" s="163"/>
      <c r="J54" s="163"/>
      <c r="K54" s="163"/>
      <c r="L54" s="163"/>
      <c r="M54" s="163"/>
      <c r="N54" s="164"/>
    </row>
    <row r="55" spans="1:14" s="165" customFormat="1" ht="31.5" customHeight="1">
      <c r="A55" s="161"/>
      <c r="B55" s="161"/>
      <c r="C55" s="161"/>
      <c r="D55" s="161"/>
      <c r="E55" s="162"/>
      <c r="F55" s="166"/>
      <c r="G55" s="166"/>
      <c r="H55" s="166"/>
      <c r="I55" s="166"/>
      <c r="J55" s="166"/>
      <c r="K55" s="166"/>
      <c r="L55" s="166"/>
      <c r="M55" s="166"/>
      <c r="N55" s="164"/>
    </row>
    <row r="56" spans="1:14" s="165" customFormat="1" ht="43.5" customHeight="1">
      <c r="A56" s="161"/>
      <c r="B56" s="161"/>
      <c r="C56" s="161"/>
      <c r="D56" s="161"/>
      <c r="E56" s="162"/>
      <c r="F56" s="166"/>
      <c r="G56" s="166"/>
      <c r="H56" s="166"/>
      <c r="I56" s="166"/>
      <c r="J56" s="166"/>
      <c r="K56" s="166"/>
      <c r="L56" s="166"/>
      <c r="M56" s="166"/>
      <c r="N56" s="164"/>
    </row>
    <row r="57" spans="1:14" s="165" customFormat="1" ht="29.25" customHeight="1">
      <c r="A57" s="161"/>
      <c r="B57" s="161"/>
      <c r="C57" s="161"/>
      <c r="D57" s="161"/>
      <c r="E57" s="162"/>
      <c r="F57" s="163"/>
      <c r="G57" s="163"/>
      <c r="H57" s="163"/>
      <c r="I57" s="163"/>
      <c r="J57" s="163"/>
      <c r="K57" s="163"/>
      <c r="L57" s="163"/>
      <c r="M57" s="163"/>
      <c r="N57" s="164"/>
    </row>
    <row r="58" spans="1:14" s="165" customFormat="1" ht="33.75" customHeight="1">
      <c r="A58" s="161"/>
      <c r="B58" s="161"/>
      <c r="C58" s="161"/>
      <c r="D58" s="161"/>
      <c r="E58" s="167"/>
      <c r="F58" s="163"/>
      <c r="G58" s="163"/>
      <c r="H58" s="163"/>
      <c r="I58" s="163"/>
      <c r="J58" s="163"/>
      <c r="K58" s="163"/>
      <c r="L58" s="163"/>
      <c r="M58" s="163"/>
      <c r="N58" s="164"/>
    </row>
    <row r="59" spans="1:14" s="165" customFormat="1" ht="8.25" customHeight="1">
      <c r="A59" s="168"/>
      <c r="B59" s="168"/>
      <c r="C59" s="168"/>
      <c r="D59" s="168"/>
      <c r="E59" s="169"/>
      <c r="F59" s="170"/>
      <c r="G59" s="170"/>
      <c r="H59" s="170"/>
      <c r="I59" s="170"/>
      <c r="J59" s="170"/>
      <c r="K59" s="170"/>
      <c r="L59" s="170"/>
      <c r="M59" s="170"/>
      <c r="N59" s="171"/>
    </row>
    <row r="60" spans="1:14" s="165" customFormat="1" ht="8.25" customHeight="1">
      <c r="A60" s="168"/>
      <c r="B60" s="168"/>
      <c r="C60" s="168"/>
      <c r="D60" s="168"/>
      <c r="E60" s="169"/>
      <c r="F60" s="170"/>
      <c r="G60" s="170"/>
      <c r="H60" s="170"/>
      <c r="I60" s="170"/>
      <c r="J60" s="170"/>
      <c r="K60" s="170"/>
      <c r="L60" s="170"/>
      <c r="M60" s="170"/>
      <c r="N60" s="171"/>
    </row>
    <row r="61" spans="1:14" s="165" customFormat="1" ht="8.25" customHeight="1">
      <c r="A61" s="168"/>
      <c r="B61" s="168"/>
      <c r="C61" s="168"/>
      <c r="D61" s="168"/>
      <c r="E61" s="169"/>
      <c r="F61" s="170"/>
      <c r="G61" s="170"/>
      <c r="H61" s="170"/>
      <c r="I61" s="170"/>
      <c r="J61" s="170"/>
      <c r="K61" s="170"/>
      <c r="L61" s="170"/>
      <c r="M61" s="170"/>
      <c r="N61" s="171"/>
    </row>
    <row r="62" spans="1:14" s="165" customFormat="1" ht="8.25" customHeight="1">
      <c r="A62" s="168"/>
      <c r="B62" s="168"/>
      <c r="C62" s="168"/>
      <c r="D62" s="168"/>
      <c r="E62" s="169"/>
      <c r="F62" s="170"/>
      <c r="G62" s="170"/>
      <c r="H62" s="170"/>
      <c r="I62" s="170"/>
      <c r="J62" s="170"/>
      <c r="K62" s="170"/>
      <c r="L62" s="170"/>
      <c r="M62" s="170"/>
      <c r="N62" s="171"/>
    </row>
    <row r="63" spans="1:14" s="165" customFormat="1" ht="8.25" customHeight="1">
      <c r="A63" s="168"/>
      <c r="B63" s="168"/>
      <c r="C63" s="168"/>
      <c r="D63" s="168"/>
      <c r="E63" s="169"/>
      <c r="F63" s="170"/>
      <c r="G63" s="170"/>
      <c r="H63" s="170"/>
      <c r="I63" s="170"/>
      <c r="J63" s="170"/>
      <c r="K63" s="170"/>
      <c r="L63" s="170"/>
      <c r="M63" s="170"/>
      <c r="N63" s="171"/>
    </row>
    <row r="64" spans="1:21" s="67" customFormat="1" ht="15.75">
      <c r="A64" s="168"/>
      <c r="B64" s="172"/>
      <c r="C64" s="172"/>
      <c r="D64" s="172"/>
      <c r="E64" s="167"/>
      <c r="F64" s="159"/>
      <c r="G64" s="159"/>
      <c r="H64" s="159"/>
      <c r="I64" s="159"/>
      <c r="J64" s="159"/>
      <c r="K64" s="159"/>
      <c r="L64" s="159"/>
      <c r="M64" s="159"/>
      <c r="N64" s="171"/>
      <c r="U64" s="72"/>
    </row>
    <row r="65" spans="1:21" s="67" customFormat="1" ht="15.75">
      <c r="A65" s="173"/>
      <c r="B65" s="173"/>
      <c r="C65" s="173"/>
      <c r="D65" s="173"/>
      <c r="E65" s="167"/>
      <c r="F65" s="174"/>
      <c r="G65" s="174"/>
      <c r="H65" s="174"/>
      <c r="I65" s="174"/>
      <c r="J65" s="174"/>
      <c r="K65" s="174"/>
      <c r="L65" s="174"/>
      <c r="M65" s="174"/>
      <c r="N65" s="175"/>
      <c r="U65" s="72"/>
    </row>
    <row r="66" spans="1:21" s="67" customFormat="1" ht="12.75">
      <c r="A66" s="173"/>
      <c r="B66" s="173"/>
      <c r="C66" s="173"/>
      <c r="D66" s="173"/>
      <c r="E66" s="162"/>
      <c r="F66" s="163"/>
      <c r="G66" s="163"/>
      <c r="H66" s="163"/>
      <c r="I66" s="163"/>
      <c r="J66" s="163"/>
      <c r="K66" s="163"/>
      <c r="L66" s="163"/>
      <c r="M66" s="163"/>
      <c r="N66" s="175"/>
      <c r="U66" s="72"/>
    </row>
    <row r="67" spans="1:21" s="67" customFormat="1" ht="15.75">
      <c r="A67" s="173"/>
      <c r="B67" s="173"/>
      <c r="C67" s="173"/>
      <c r="D67" s="173"/>
      <c r="E67" s="167"/>
      <c r="F67" s="174"/>
      <c r="G67" s="174"/>
      <c r="H67" s="174"/>
      <c r="I67" s="174"/>
      <c r="J67" s="174"/>
      <c r="K67" s="174"/>
      <c r="L67" s="174"/>
      <c r="M67" s="174"/>
      <c r="N67" s="175"/>
      <c r="U67" s="72"/>
    </row>
    <row r="68" spans="1:21" s="67" customFormat="1" ht="15.75">
      <c r="A68" s="173"/>
      <c r="B68" s="173"/>
      <c r="C68" s="173"/>
      <c r="D68" s="173"/>
      <c r="E68" s="167"/>
      <c r="F68" s="174"/>
      <c r="G68" s="174"/>
      <c r="H68" s="174"/>
      <c r="I68" s="174"/>
      <c r="J68" s="174"/>
      <c r="K68" s="174"/>
      <c r="L68" s="174"/>
      <c r="M68" s="174"/>
      <c r="N68" s="175"/>
      <c r="U68" s="72"/>
    </row>
    <row r="69" spans="1:21" s="67" customFormat="1" ht="15.75">
      <c r="A69" s="173"/>
      <c r="B69" s="173"/>
      <c r="C69" s="173"/>
      <c r="D69" s="173"/>
      <c r="E69" s="167"/>
      <c r="F69" s="174"/>
      <c r="G69" s="174"/>
      <c r="H69" s="174"/>
      <c r="I69" s="174"/>
      <c r="J69" s="174"/>
      <c r="K69" s="174"/>
      <c r="L69" s="174"/>
      <c r="M69" s="174"/>
      <c r="N69" s="175"/>
      <c r="U69" s="72"/>
    </row>
    <row r="70" spans="2:21" s="67" customFormat="1" ht="15.75">
      <c r="B70" s="167"/>
      <c r="C70" s="176"/>
      <c r="D70" s="176"/>
      <c r="E70" s="177"/>
      <c r="F70" s="174"/>
      <c r="G70" s="174"/>
      <c r="H70" s="174"/>
      <c r="I70" s="174"/>
      <c r="J70" s="174"/>
      <c r="K70" s="174"/>
      <c r="L70" s="174"/>
      <c r="M70" s="174"/>
      <c r="N70" s="178"/>
      <c r="U70" s="72"/>
    </row>
    <row r="71" spans="1:21" s="67" customFormat="1" ht="15.75">
      <c r="A71" s="173"/>
      <c r="B71" s="173"/>
      <c r="C71" s="173"/>
      <c r="D71" s="173"/>
      <c r="E71" s="167"/>
      <c r="F71" s="174"/>
      <c r="G71" s="174"/>
      <c r="H71" s="174"/>
      <c r="I71" s="174"/>
      <c r="J71" s="174"/>
      <c r="K71" s="174"/>
      <c r="L71" s="174"/>
      <c r="M71" s="174"/>
      <c r="N71" s="175"/>
      <c r="U71" s="72"/>
    </row>
    <row r="72" spans="1:21" s="67" customFormat="1" ht="15.75">
      <c r="A72" s="172"/>
      <c r="B72" s="172"/>
      <c r="C72" s="172"/>
      <c r="D72" s="172"/>
      <c r="E72" s="169"/>
      <c r="F72" s="159"/>
      <c r="G72" s="159"/>
      <c r="H72" s="159"/>
      <c r="I72" s="159"/>
      <c r="J72" s="159"/>
      <c r="K72" s="159"/>
      <c r="L72" s="159"/>
      <c r="M72" s="159"/>
      <c r="N72" s="171"/>
      <c r="U72" s="72"/>
    </row>
    <row r="73" spans="1:21" s="67" customFormat="1" ht="15.75">
      <c r="A73" s="172"/>
      <c r="B73" s="172"/>
      <c r="C73" s="172"/>
      <c r="D73" s="172"/>
      <c r="E73" s="167"/>
      <c r="F73" s="159"/>
      <c r="G73" s="159"/>
      <c r="H73" s="159"/>
      <c r="I73" s="159"/>
      <c r="J73" s="159"/>
      <c r="K73" s="159"/>
      <c r="L73" s="159"/>
      <c r="M73" s="159"/>
      <c r="N73" s="171"/>
      <c r="U73" s="72"/>
    </row>
    <row r="74" spans="1:21" s="67" customFormat="1" ht="15.75">
      <c r="A74" s="172"/>
      <c r="B74" s="172"/>
      <c r="C74" s="172"/>
      <c r="D74" s="172"/>
      <c r="E74" s="167"/>
      <c r="F74" s="159"/>
      <c r="G74" s="159"/>
      <c r="H74" s="159"/>
      <c r="I74" s="159"/>
      <c r="J74" s="159"/>
      <c r="K74" s="159"/>
      <c r="L74" s="159"/>
      <c r="M74" s="159"/>
      <c r="N74" s="171"/>
      <c r="U74" s="72"/>
    </row>
    <row r="75" spans="1:21" s="67" customFormat="1" ht="15.75">
      <c r="A75" s="172"/>
      <c r="B75" s="172"/>
      <c r="C75" s="172"/>
      <c r="D75" s="172"/>
      <c r="E75" s="167"/>
      <c r="F75" s="159"/>
      <c r="G75" s="159"/>
      <c r="H75" s="159"/>
      <c r="I75" s="159"/>
      <c r="J75" s="159"/>
      <c r="K75" s="159"/>
      <c r="L75" s="159"/>
      <c r="M75" s="159"/>
      <c r="N75" s="171"/>
      <c r="U75" s="72"/>
    </row>
    <row r="76" spans="1:21" s="67" customFormat="1" ht="15.75">
      <c r="A76" s="172"/>
      <c r="B76" s="172"/>
      <c r="C76" s="172"/>
      <c r="D76" s="172"/>
      <c r="E76" s="167"/>
      <c r="F76" s="159"/>
      <c r="G76" s="159"/>
      <c r="H76" s="159"/>
      <c r="I76" s="159"/>
      <c r="J76" s="159"/>
      <c r="K76" s="159"/>
      <c r="L76" s="159"/>
      <c r="M76" s="159"/>
      <c r="N76" s="171"/>
      <c r="U76" s="72"/>
    </row>
    <row r="77" spans="1:21" s="67" customFormat="1" ht="15.75">
      <c r="A77" s="172"/>
      <c r="B77" s="172"/>
      <c r="C77" s="172"/>
      <c r="D77" s="172"/>
      <c r="E77" s="167"/>
      <c r="F77" s="159"/>
      <c r="G77" s="159"/>
      <c r="H77" s="159"/>
      <c r="I77" s="159"/>
      <c r="J77" s="159"/>
      <c r="K77" s="159"/>
      <c r="L77" s="159"/>
      <c r="M77" s="159"/>
      <c r="N77" s="171"/>
      <c r="U77" s="72"/>
    </row>
    <row r="78" spans="1:21" s="67" customFormat="1" ht="15.75">
      <c r="A78" s="172"/>
      <c r="B78" s="172"/>
      <c r="C78" s="172"/>
      <c r="D78" s="172"/>
      <c r="E78" s="167"/>
      <c r="F78" s="159"/>
      <c r="G78" s="159"/>
      <c r="H78" s="159"/>
      <c r="I78" s="159"/>
      <c r="J78" s="159"/>
      <c r="K78" s="159"/>
      <c r="L78" s="159"/>
      <c r="M78" s="159"/>
      <c r="N78" s="171"/>
      <c r="U78" s="72"/>
    </row>
    <row r="79" ht="15.75">
      <c r="E79" s="167"/>
    </row>
    <row r="80" ht="15.75">
      <c r="E80" s="167"/>
    </row>
    <row r="81" ht="15.75">
      <c r="E81" s="167"/>
    </row>
    <row r="82" ht="15.75">
      <c r="E82" s="167"/>
    </row>
    <row r="83" ht="15.75">
      <c r="E83" s="167"/>
    </row>
    <row r="84" ht="15.75">
      <c r="E84" s="167"/>
    </row>
    <row r="85" ht="15.75">
      <c r="E85" s="167"/>
    </row>
    <row r="86" ht="15.75">
      <c r="E86" s="167"/>
    </row>
    <row r="87" ht="15.75">
      <c r="E87" s="167"/>
    </row>
    <row r="88" ht="15.75">
      <c r="E88" s="167"/>
    </row>
    <row r="89" ht="15.75">
      <c r="E89" s="167"/>
    </row>
    <row r="90" ht="15.75">
      <c r="E90" s="167"/>
    </row>
    <row r="91" ht="15.75">
      <c r="E91" s="167"/>
    </row>
    <row r="92" ht="15.75">
      <c r="E92" s="167"/>
    </row>
    <row r="93" ht="15.75">
      <c r="E93" s="167"/>
    </row>
    <row r="94" ht="15.75">
      <c r="E94" s="167"/>
    </row>
    <row r="95" ht="15.75">
      <c r="E95" s="167"/>
    </row>
    <row r="96" ht="15.75">
      <c r="E96" s="167"/>
    </row>
  </sheetData>
  <printOptions/>
  <pageMargins left="0.78" right="0.25" top="1.38" bottom="0.984251968503937" header="0.83" footer="0.5118110236220472"/>
  <pageSetup horizontalDpi="600" verticalDpi="600" orientation="landscape" paperSize="9" scale="80" r:id="rId2"/>
  <headerFooter alignWithMargins="0">
    <oddHeader>&amp;C&amp;"Arial,Tučné"&amp;12Schválený  rozpočet investičních akcí na rok 2009 - individuální příslib&amp;RPříloha č. 8</oddHeader>
    <oddFooter>&amp;C11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F17"/>
  <sheetViews>
    <sheetView workbookViewId="0" topLeftCell="A1">
      <selection activeCell="K4" sqref="K4"/>
    </sheetView>
  </sheetViews>
  <sheetFormatPr defaultColWidth="9.00390625" defaultRowHeight="12.75" outlineLevelCol="1"/>
  <cols>
    <col min="1" max="4" width="6.75390625" style="287" customWidth="1"/>
    <col min="5" max="5" width="56.75390625" style="287" customWidth="1"/>
    <col min="6" max="6" width="16.75390625" style="288" customWidth="1"/>
    <col min="7" max="7" width="15.875" style="288" hidden="1" customWidth="1" outlineLevel="1"/>
    <col min="8" max="8" width="14.25390625" style="288" hidden="1" customWidth="1" outlineLevel="1"/>
    <col min="9" max="9" width="16.125" style="288" customWidth="1" collapsed="1"/>
    <col min="10" max="10" width="16.125" style="288" customWidth="1" outlineLevel="1"/>
    <col min="11" max="11" width="9.25390625" style="288" customWidth="1" outlineLevel="1"/>
    <col min="12" max="12" width="12.75390625" style="288" hidden="1" customWidth="1" outlineLevel="1"/>
    <col min="13" max="13" width="13.625" style="288" hidden="1" customWidth="1" outlineLevel="1"/>
    <col min="14" max="14" width="25.875" style="287" customWidth="1" collapsed="1"/>
    <col min="15" max="15" width="29.25390625" style="287" customWidth="1"/>
    <col min="16" max="16" width="5.75390625" style="267" customWidth="1"/>
    <col min="17" max="17" width="9.125" style="267" hidden="1" customWidth="1"/>
    <col min="18" max="16384" width="9.125" style="267" customWidth="1"/>
  </cols>
  <sheetData>
    <row r="1" spans="1:14" s="57" customFormat="1" ht="54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998</v>
      </c>
      <c r="G1" s="56" t="s">
        <v>999</v>
      </c>
      <c r="H1" s="56" t="s">
        <v>1000</v>
      </c>
      <c r="I1" s="56" t="s">
        <v>0</v>
      </c>
      <c r="J1" s="56" t="s">
        <v>1</v>
      </c>
      <c r="K1" s="56" t="s">
        <v>329</v>
      </c>
      <c r="L1" s="56" t="s">
        <v>276</v>
      </c>
      <c r="M1" s="56" t="s">
        <v>977</v>
      </c>
      <c r="N1" s="55" t="s">
        <v>327</v>
      </c>
    </row>
    <row r="2" s="261" customFormat="1" ht="27" customHeight="1">
      <c r="A2" s="261" t="s">
        <v>317</v>
      </c>
    </row>
    <row r="3" spans="1:21" s="81" customFormat="1" ht="15.75" customHeight="1">
      <c r="A3" s="75">
        <v>4857</v>
      </c>
      <c r="B3" s="69">
        <v>3612</v>
      </c>
      <c r="C3" s="77">
        <v>6121</v>
      </c>
      <c r="D3" s="62">
        <v>1</v>
      </c>
      <c r="E3" s="66" t="s">
        <v>318</v>
      </c>
      <c r="F3" s="70">
        <v>1767</v>
      </c>
      <c r="G3" s="71">
        <v>1767000</v>
      </c>
      <c r="H3" s="71">
        <v>-1767000</v>
      </c>
      <c r="I3" s="65">
        <f>G3+H3</f>
        <v>0</v>
      </c>
      <c r="J3" s="65">
        <v>0</v>
      </c>
      <c r="K3" s="65">
        <v>0</v>
      </c>
      <c r="L3" s="65"/>
      <c r="M3" s="65">
        <f>I3-L3</f>
        <v>0</v>
      </c>
      <c r="N3" s="66" t="s">
        <v>319</v>
      </c>
      <c r="O3" s="67"/>
      <c r="P3" s="67"/>
      <c r="Q3" s="67"/>
      <c r="R3" s="67"/>
      <c r="S3" s="67"/>
      <c r="T3" s="67"/>
      <c r="U3" s="80"/>
    </row>
    <row r="4" spans="1:15" ht="15.75" customHeight="1">
      <c r="A4" s="262">
        <v>4821</v>
      </c>
      <c r="B4" s="262">
        <v>3612</v>
      </c>
      <c r="C4" s="262">
        <v>6121</v>
      </c>
      <c r="D4" s="262">
        <v>2</v>
      </c>
      <c r="E4" s="263" t="s">
        <v>320</v>
      </c>
      <c r="F4" s="264">
        <v>0</v>
      </c>
      <c r="G4" s="265">
        <v>22000000</v>
      </c>
      <c r="H4" s="265"/>
      <c r="I4" s="65">
        <f>G4+H4</f>
        <v>22000000</v>
      </c>
      <c r="J4" s="265">
        <v>20686675</v>
      </c>
      <c r="K4" s="265">
        <f>J4/I4*100</f>
        <v>94.03034090909091</v>
      </c>
      <c r="L4" s="265"/>
      <c r="M4" s="65">
        <f>I4-L4</f>
        <v>22000000</v>
      </c>
      <c r="N4" s="266"/>
      <c r="O4" s="267"/>
    </row>
    <row r="5" spans="1:15" ht="15.75" customHeight="1" thickBot="1">
      <c r="A5" s="268">
        <v>5054</v>
      </c>
      <c r="B5" s="268">
        <v>6171</v>
      </c>
      <c r="C5" s="268">
        <v>6121</v>
      </c>
      <c r="D5" s="262">
        <v>3</v>
      </c>
      <c r="E5" s="263" t="s">
        <v>321</v>
      </c>
      <c r="F5" s="264">
        <v>0</v>
      </c>
      <c r="G5" s="265">
        <v>400000</v>
      </c>
      <c r="H5" s="265">
        <v>849000</v>
      </c>
      <c r="I5" s="65">
        <f>G5+H5</f>
        <v>1249000</v>
      </c>
      <c r="J5" s="265">
        <v>1249399</v>
      </c>
      <c r="K5" s="265">
        <f>J5/I5*100</f>
        <v>100.03194555644515</v>
      </c>
      <c r="L5" s="265"/>
      <c r="M5" s="65">
        <f>I5-L5</f>
        <v>1249000</v>
      </c>
      <c r="N5" s="269"/>
      <c r="O5" s="267"/>
    </row>
    <row r="6" spans="1:240" s="284" customFormat="1" ht="19.5" customHeight="1" thickBot="1">
      <c r="A6" s="278"/>
      <c r="B6" s="278"/>
      <c r="C6" s="278"/>
      <c r="D6" s="278"/>
      <c r="E6" s="279" t="s">
        <v>335</v>
      </c>
      <c r="F6" s="280">
        <f>SUM(F3:F5)</f>
        <v>1767</v>
      </c>
      <c r="G6" s="281">
        <f>SUM(G3:G5)</f>
        <v>24167000</v>
      </c>
      <c r="H6" s="281">
        <f>SUM(H3:H5)</f>
        <v>-918000</v>
      </c>
      <c r="I6" s="281">
        <f>SUM(I3:I5)</f>
        <v>23249000</v>
      </c>
      <c r="J6" s="281">
        <f>SUM(J4:J5)</f>
        <v>21936074</v>
      </c>
      <c r="K6" s="281">
        <f>J6/I6*100</f>
        <v>94.352763559723</v>
      </c>
      <c r="L6" s="281">
        <f>SUM(L3:L5)</f>
        <v>0</v>
      </c>
      <c r="M6" s="281">
        <f>SUM(M3:M5)</f>
        <v>23249000</v>
      </c>
      <c r="N6" s="282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  <c r="FT6" s="283"/>
      <c r="FU6" s="283"/>
      <c r="FV6" s="283"/>
      <c r="FW6" s="283"/>
      <c r="FX6" s="283"/>
      <c r="FY6" s="283"/>
      <c r="FZ6" s="283"/>
      <c r="GA6" s="283"/>
      <c r="GB6" s="283"/>
      <c r="GC6" s="283"/>
      <c r="GD6" s="283"/>
      <c r="GE6" s="283"/>
      <c r="GF6" s="283"/>
      <c r="GG6" s="283"/>
      <c r="GH6" s="283"/>
      <c r="GI6" s="283"/>
      <c r="GJ6" s="283"/>
      <c r="GK6" s="283"/>
      <c r="GL6" s="283"/>
      <c r="GM6" s="283"/>
      <c r="GN6" s="283"/>
      <c r="GO6" s="283"/>
      <c r="GP6" s="283"/>
      <c r="GQ6" s="283"/>
      <c r="GR6" s="283"/>
      <c r="GS6" s="283"/>
      <c r="GT6" s="283"/>
      <c r="GU6" s="283"/>
      <c r="GV6" s="283"/>
      <c r="GW6" s="283"/>
      <c r="GX6" s="283"/>
      <c r="GY6" s="283"/>
      <c r="GZ6" s="283"/>
      <c r="HA6" s="283"/>
      <c r="HB6" s="283"/>
      <c r="HC6" s="283"/>
      <c r="HD6" s="283"/>
      <c r="HE6" s="283"/>
      <c r="HF6" s="283"/>
      <c r="HG6" s="283"/>
      <c r="HH6" s="283"/>
      <c r="HI6" s="283"/>
      <c r="HJ6" s="283"/>
      <c r="HK6" s="283"/>
      <c r="HL6" s="283"/>
      <c r="HM6" s="283"/>
      <c r="HN6" s="283"/>
      <c r="HO6" s="283"/>
      <c r="HP6" s="283"/>
      <c r="HQ6" s="283"/>
      <c r="HR6" s="283"/>
      <c r="HS6" s="283"/>
      <c r="HT6" s="283"/>
      <c r="HU6" s="283"/>
      <c r="HV6" s="283"/>
      <c r="HW6" s="283"/>
      <c r="HX6" s="283"/>
      <c r="HY6" s="283"/>
      <c r="HZ6" s="283"/>
      <c r="IA6" s="283"/>
      <c r="IB6" s="283"/>
      <c r="IC6" s="283"/>
      <c r="ID6" s="283"/>
      <c r="IE6" s="283"/>
      <c r="IF6" s="283"/>
    </row>
    <row r="7" spans="1:15" ht="19.5" customHeight="1">
      <c r="A7" s="285"/>
      <c r="B7" s="285"/>
      <c r="C7" s="285"/>
      <c r="D7" s="285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ht="19.5" customHeight="1"/>
    <row r="9" ht="19.5" customHeight="1">
      <c r="E9" s="289"/>
    </row>
    <row r="10" ht="19.5" customHeight="1"/>
    <row r="11" ht="19.5" customHeight="1"/>
    <row r="12" ht="19.5" customHeight="1">
      <c r="E12" s="289"/>
    </row>
    <row r="13" ht="19.5" customHeight="1"/>
    <row r="14" ht="19.5" customHeight="1"/>
    <row r="15" ht="19.5" customHeight="1"/>
    <row r="16" ht="19.5" customHeight="1">
      <c r="E16" s="290"/>
    </row>
    <row r="17" ht="15">
      <c r="E17" s="290"/>
    </row>
  </sheetData>
  <printOptions/>
  <pageMargins left="1.01" right="0.1968503937007874" top="1.48" bottom="0.81" header="0.95" footer="0.37"/>
  <pageSetup horizontalDpi="600" verticalDpi="600" orientation="landscape" paperSize="9" scale="75" r:id="rId2"/>
  <headerFooter alignWithMargins="0">
    <oddHeader>&amp;C&amp;"Arial,Tučné"&amp;12Schválený rozpočet investičních akcí na rok 2009 - individuální příslib&amp;RPříloha č. 8</oddHeader>
    <oddFooter>&amp;C12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F18"/>
  <sheetViews>
    <sheetView workbookViewId="0" topLeftCell="A1">
      <selection activeCell="E13" sqref="E13"/>
    </sheetView>
  </sheetViews>
  <sheetFormatPr defaultColWidth="9.00390625" defaultRowHeight="12.75" outlineLevelCol="1"/>
  <cols>
    <col min="1" max="4" width="6.75390625" style="287" customWidth="1"/>
    <col min="5" max="5" width="56.75390625" style="287" customWidth="1"/>
    <col min="6" max="6" width="16.75390625" style="288" customWidth="1"/>
    <col min="7" max="7" width="15.875" style="288" hidden="1" customWidth="1" outlineLevel="1"/>
    <col min="8" max="8" width="14.25390625" style="288" hidden="1" customWidth="1" outlineLevel="1"/>
    <col min="9" max="9" width="16.125" style="288" customWidth="1" collapsed="1"/>
    <col min="10" max="10" width="16.125" style="288" customWidth="1" outlineLevel="1"/>
    <col min="11" max="11" width="9.25390625" style="288" customWidth="1" outlineLevel="1"/>
    <col min="12" max="12" width="13.25390625" style="288" hidden="1" customWidth="1" outlineLevel="1"/>
    <col min="13" max="13" width="13.00390625" style="288" hidden="1" customWidth="1" outlineLevel="1"/>
    <col min="14" max="14" width="27.125" style="287" customWidth="1" collapsed="1"/>
    <col min="15" max="15" width="29.25390625" style="287" customWidth="1"/>
    <col min="16" max="16" width="5.75390625" style="267" customWidth="1"/>
    <col min="17" max="17" width="9.125" style="267" hidden="1" customWidth="1"/>
    <col min="18" max="16384" width="9.125" style="267" customWidth="1"/>
  </cols>
  <sheetData>
    <row r="1" spans="1:14" s="57" customFormat="1" ht="54" customHeight="1" thickBot="1">
      <c r="A1" s="55" t="s">
        <v>1017</v>
      </c>
      <c r="B1" s="55" t="s">
        <v>975</v>
      </c>
      <c r="C1" s="55" t="s">
        <v>1018</v>
      </c>
      <c r="D1" s="55"/>
      <c r="E1" s="56" t="s">
        <v>1019</v>
      </c>
      <c r="F1" s="56" t="s">
        <v>998</v>
      </c>
      <c r="G1" s="56" t="s">
        <v>999</v>
      </c>
      <c r="H1" s="56" t="s">
        <v>1000</v>
      </c>
      <c r="I1" s="56" t="s">
        <v>0</v>
      </c>
      <c r="J1" s="56" t="s">
        <v>1</v>
      </c>
      <c r="K1" s="56" t="s">
        <v>329</v>
      </c>
      <c r="L1" s="56" t="s">
        <v>276</v>
      </c>
      <c r="M1" s="56" t="s">
        <v>977</v>
      </c>
      <c r="N1" s="55" t="s">
        <v>327</v>
      </c>
    </row>
    <row r="2" s="261" customFormat="1" ht="27" customHeight="1">
      <c r="A2" s="261" t="s">
        <v>322</v>
      </c>
    </row>
    <row r="3" spans="1:20" s="113" customFormat="1" ht="15.75" customHeight="1">
      <c r="A3" s="69">
        <v>4826</v>
      </c>
      <c r="B3" s="69">
        <v>2321</v>
      </c>
      <c r="C3" s="69">
        <v>6121</v>
      </c>
      <c r="D3" s="62">
        <v>1</v>
      </c>
      <c r="E3" s="66" t="s">
        <v>323</v>
      </c>
      <c r="F3" s="64">
        <v>15000</v>
      </c>
      <c r="G3" s="65">
        <v>15000000</v>
      </c>
      <c r="H3" s="65"/>
      <c r="I3" s="65">
        <f>G3+H3</f>
        <v>15000000</v>
      </c>
      <c r="J3" s="65">
        <v>14458899.31</v>
      </c>
      <c r="K3" s="65">
        <f>J3/I3*100</f>
        <v>96.39266206666667</v>
      </c>
      <c r="L3" s="65"/>
      <c r="M3" s="65">
        <f>I3-L3</f>
        <v>15000000</v>
      </c>
      <c r="N3" s="66" t="s">
        <v>324</v>
      </c>
      <c r="O3" s="111"/>
      <c r="P3" s="112"/>
      <c r="Q3" s="111"/>
      <c r="R3" s="112"/>
      <c r="S3" s="111"/>
      <c r="T3" s="111"/>
    </row>
    <row r="4" spans="1:20" s="116" customFormat="1" ht="22.5" customHeight="1">
      <c r="A4" s="69">
        <v>395</v>
      </c>
      <c r="B4" s="69">
        <v>2310</v>
      </c>
      <c r="C4" s="69">
        <v>6121</v>
      </c>
      <c r="D4" s="181">
        <v>2</v>
      </c>
      <c r="E4" s="66" t="s">
        <v>325</v>
      </c>
      <c r="F4" s="64">
        <v>1000</v>
      </c>
      <c r="G4" s="99">
        <v>2000000</v>
      </c>
      <c r="H4" s="65"/>
      <c r="I4" s="65">
        <f>G4+H4-850000</f>
        <v>1150000</v>
      </c>
      <c r="J4" s="65">
        <v>1131724.1</v>
      </c>
      <c r="K4" s="65">
        <f>J4/I4*100</f>
        <v>98.41079130434784</v>
      </c>
      <c r="L4" s="99"/>
      <c r="M4" s="65">
        <f>I4-L4</f>
        <v>1150000</v>
      </c>
      <c r="N4" s="66" t="s">
        <v>1084</v>
      </c>
      <c r="O4" s="114"/>
      <c r="P4" s="115"/>
      <c r="Q4" s="115"/>
      <c r="R4" s="115"/>
      <c r="S4" s="115"/>
      <c r="T4" s="115"/>
    </row>
    <row r="5" spans="1:15" ht="15.75" customHeight="1">
      <c r="A5" s="268">
        <v>4706</v>
      </c>
      <c r="B5" s="268">
        <v>2321</v>
      </c>
      <c r="C5" s="268">
        <v>6121</v>
      </c>
      <c r="D5" s="62">
        <v>3</v>
      </c>
      <c r="E5" s="263" t="s">
        <v>326</v>
      </c>
      <c r="F5" s="264">
        <v>0</v>
      </c>
      <c r="G5" s="265">
        <v>500000</v>
      </c>
      <c r="H5" s="265"/>
      <c r="I5" s="65">
        <f>500000-150000</f>
        <v>350000</v>
      </c>
      <c r="J5" s="265">
        <v>245634</v>
      </c>
      <c r="K5" s="65">
        <f>J5/I5*100</f>
        <v>70.18114285714286</v>
      </c>
      <c r="L5" s="99"/>
      <c r="M5" s="65">
        <f>I5-L5</f>
        <v>350000</v>
      </c>
      <c r="N5" s="269"/>
      <c r="O5" s="267"/>
    </row>
    <row r="6" spans="1:15" ht="15.75" customHeight="1" thickBot="1">
      <c r="A6" s="262">
        <v>995</v>
      </c>
      <c r="B6" s="262">
        <v>2321</v>
      </c>
      <c r="C6" s="262">
        <v>6121</v>
      </c>
      <c r="D6" s="181">
        <v>4</v>
      </c>
      <c r="E6" s="263" t="s">
        <v>357</v>
      </c>
      <c r="F6" s="264">
        <v>0</v>
      </c>
      <c r="G6" s="265">
        <v>6700000</v>
      </c>
      <c r="H6" s="265"/>
      <c r="I6" s="265">
        <v>7200000</v>
      </c>
      <c r="J6" s="265">
        <v>7097763</v>
      </c>
      <c r="K6" s="65">
        <f>J6/I6*100</f>
        <v>98.58004166666666</v>
      </c>
      <c r="L6" s="265"/>
      <c r="M6" s="65">
        <f>I6-L6</f>
        <v>7200000</v>
      </c>
      <c r="N6" s="270"/>
      <c r="O6" s="267"/>
    </row>
    <row r="7" spans="1:240" s="284" customFormat="1" ht="19.5" customHeight="1" thickBot="1">
      <c r="A7" s="278"/>
      <c r="B7" s="278"/>
      <c r="C7" s="278"/>
      <c r="D7" s="278"/>
      <c r="E7" s="279" t="s">
        <v>335</v>
      </c>
      <c r="F7" s="280">
        <f>SUM(F3:F6)</f>
        <v>16000</v>
      </c>
      <c r="G7" s="281">
        <f>SUM(G3:G6)</f>
        <v>24200000</v>
      </c>
      <c r="H7" s="281">
        <f>SUM(H3:H6)</f>
        <v>0</v>
      </c>
      <c r="I7" s="281">
        <f>SUM(I3:I6)</f>
        <v>23700000</v>
      </c>
      <c r="J7" s="281">
        <f>SUM(J3:J6)</f>
        <v>22934020.41</v>
      </c>
      <c r="K7" s="281">
        <f>J7/I7*100</f>
        <v>96.76801860759494</v>
      </c>
      <c r="L7" s="281">
        <f>SUM(L3:L6)</f>
        <v>0</v>
      </c>
      <c r="M7" s="281">
        <f>SUM(M3:M6)</f>
        <v>23700000</v>
      </c>
      <c r="N7" s="282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  <c r="GZ7" s="283"/>
      <c r="HA7" s="283"/>
      <c r="HB7" s="283"/>
      <c r="HC7" s="283"/>
      <c r="HD7" s="283"/>
      <c r="HE7" s="283"/>
      <c r="HF7" s="283"/>
      <c r="HG7" s="283"/>
      <c r="HH7" s="283"/>
      <c r="HI7" s="283"/>
      <c r="HJ7" s="283"/>
      <c r="HK7" s="283"/>
      <c r="HL7" s="283"/>
      <c r="HM7" s="283"/>
      <c r="HN7" s="283"/>
      <c r="HO7" s="283"/>
      <c r="HP7" s="283"/>
      <c r="HQ7" s="283"/>
      <c r="HR7" s="283"/>
      <c r="HS7" s="283"/>
      <c r="HT7" s="283"/>
      <c r="HU7" s="283"/>
      <c r="HV7" s="283"/>
      <c r="HW7" s="283"/>
      <c r="HX7" s="283"/>
      <c r="HY7" s="283"/>
      <c r="HZ7" s="283"/>
      <c r="IA7" s="283"/>
      <c r="IB7" s="283"/>
      <c r="IC7" s="283"/>
      <c r="ID7" s="283"/>
      <c r="IE7" s="283"/>
      <c r="IF7" s="283"/>
    </row>
    <row r="8" spans="1:15" ht="19.5" customHeight="1">
      <c r="A8" s="285"/>
      <c r="B8" s="285"/>
      <c r="C8" s="285"/>
      <c r="D8" s="285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ht="19.5" customHeight="1"/>
    <row r="10" ht="19.5" customHeight="1">
      <c r="E10" s="289"/>
    </row>
    <row r="11" ht="19.5" customHeight="1"/>
    <row r="12" ht="19.5" customHeight="1"/>
    <row r="13" ht="19.5" customHeight="1">
      <c r="E13" s="289"/>
    </row>
    <row r="14" ht="19.5" customHeight="1"/>
    <row r="15" ht="19.5" customHeight="1"/>
    <row r="16" ht="19.5" customHeight="1"/>
    <row r="17" ht="19.5" customHeight="1">
      <c r="E17" s="290"/>
    </row>
    <row r="18" ht="15">
      <c r="E18" s="290"/>
    </row>
  </sheetData>
  <printOptions/>
  <pageMargins left="0.63" right="0.1968503937007874" top="1.4" bottom="0.81" header="0.88" footer="0.37"/>
  <pageSetup horizontalDpi="600" verticalDpi="600" orientation="landscape" paperSize="9" scale="80" r:id="rId2"/>
  <headerFooter alignWithMargins="0">
    <oddHeader>&amp;C&amp;"Arial,Tučné"&amp;12Schválený rozpočet investičních akcí na rok 2009 - individuální příslib&amp;RPříloha č. 8</oddHeader>
    <oddFooter>&amp;C13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N14" sqref="N14"/>
    </sheetView>
  </sheetViews>
  <sheetFormatPr defaultColWidth="9.00390625" defaultRowHeight="15" customHeight="1" outlineLevelCol="1"/>
  <cols>
    <col min="1" max="1" width="5.00390625" style="361" customWidth="1"/>
    <col min="2" max="2" width="4.875" style="361" customWidth="1"/>
    <col min="3" max="3" width="6.75390625" style="361" customWidth="1"/>
    <col min="4" max="4" width="4.25390625" style="361" customWidth="1"/>
    <col min="5" max="5" width="70.75390625" style="361" customWidth="1"/>
    <col min="6" max="6" width="14.375" style="361" customWidth="1"/>
    <col min="7" max="8" width="15.875" style="361" hidden="1" customWidth="1" outlineLevel="1"/>
    <col min="9" max="9" width="15.875" style="361" hidden="1" customWidth="1" collapsed="1"/>
    <col min="10" max="10" width="17.125" style="361" hidden="1" customWidth="1"/>
    <col min="11" max="11" width="14.25390625" style="361" hidden="1" customWidth="1" outlineLevel="1"/>
    <col min="12" max="12" width="14.75390625" style="361" hidden="1" customWidth="1" outlineLevel="1"/>
    <col min="13" max="13" width="15.875" style="361" hidden="1" customWidth="1" collapsed="1"/>
    <col min="14" max="14" width="15.875" style="361" customWidth="1"/>
    <col min="15" max="15" width="15.875" style="361" customWidth="1" outlineLevel="1"/>
    <col min="16" max="16" width="8.25390625" style="361" customWidth="1" outlineLevel="1"/>
    <col min="17" max="17" width="13.125" style="361" hidden="1" customWidth="1" outlineLevel="1"/>
    <col min="18" max="18" width="15.75390625" style="361" hidden="1" customWidth="1" outlineLevel="1"/>
    <col min="19" max="19" width="20.625" style="361" customWidth="1" collapsed="1"/>
    <col min="20" max="16384" width="9.125" style="361" customWidth="1"/>
  </cols>
  <sheetData>
    <row r="1" spans="1:19" s="358" customFormat="1" ht="51" customHeight="1" thickBot="1">
      <c r="A1" s="355" t="s">
        <v>358</v>
      </c>
      <c r="B1" s="355" t="s">
        <v>975</v>
      </c>
      <c r="C1" s="355" t="s">
        <v>1018</v>
      </c>
      <c r="D1" s="355"/>
      <c r="E1" s="355" t="s">
        <v>1019</v>
      </c>
      <c r="F1" s="356" t="s">
        <v>359</v>
      </c>
      <c r="G1" s="357" t="s">
        <v>360</v>
      </c>
      <c r="H1" s="357" t="s">
        <v>342</v>
      </c>
      <c r="I1" s="357" t="s">
        <v>361</v>
      </c>
      <c r="J1" s="357" t="s">
        <v>328</v>
      </c>
      <c r="K1" s="357" t="s">
        <v>362</v>
      </c>
      <c r="L1" s="357" t="s">
        <v>328</v>
      </c>
      <c r="M1" s="357" t="s">
        <v>363</v>
      </c>
      <c r="N1" s="357" t="s">
        <v>6</v>
      </c>
      <c r="O1" s="357" t="s">
        <v>7</v>
      </c>
      <c r="P1" s="357" t="s">
        <v>329</v>
      </c>
      <c r="Q1" s="357" t="s">
        <v>276</v>
      </c>
      <c r="R1" s="357" t="s">
        <v>977</v>
      </c>
      <c r="S1" s="355" t="s">
        <v>327</v>
      </c>
    </row>
    <row r="2" spans="1:19" ht="21" customHeight="1">
      <c r="A2" s="1222" t="s">
        <v>1149</v>
      </c>
      <c r="B2" s="1222"/>
      <c r="C2" s="1222"/>
      <c r="D2" s="1222"/>
      <c r="E2" s="1222"/>
      <c r="F2" s="1222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60"/>
    </row>
    <row r="3" spans="1:26" s="368" customFormat="1" ht="15" customHeight="1">
      <c r="A3" s="362"/>
      <c r="B3" s="362"/>
      <c r="C3" s="362"/>
      <c r="D3" s="362">
        <v>1</v>
      </c>
      <c r="E3" s="363" t="s">
        <v>930</v>
      </c>
      <c r="F3" s="364">
        <f>'[3]A stav. inv.'!F98</f>
        <v>362277</v>
      </c>
      <c r="G3" s="364">
        <f>'[4]A stav. inv.'!H29</f>
        <v>-4227000</v>
      </c>
      <c r="H3" s="364">
        <f>'[4]A stav. inv.'!I29</f>
        <v>366013362.4</v>
      </c>
      <c r="I3" s="364">
        <f>'[4]A stav. inv.'!L29</f>
        <v>0</v>
      </c>
      <c r="J3" s="364">
        <f>'[4]A stav. inv.'!M29</f>
        <v>0</v>
      </c>
      <c r="K3" s="365">
        <f>'[3]A stav. inv.'!G98</f>
        <v>529317131.4</v>
      </c>
      <c r="L3" s="365">
        <f>'[3]A stav. inv.'!H98</f>
        <v>-120000</v>
      </c>
      <c r="M3" s="365">
        <f>'[3]A stav. inv.'!I98</f>
        <v>529197131.4</v>
      </c>
      <c r="N3" s="365">
        <f>'A stav. inv.'!J97</f>
        <v>536673235.47</v>
      </c>
      <c r="O3" s="365">
        <f>'A stav. inv.'!K97</f>
        <v>528673184.26000017</v>
      </c>
      <c r="P3" s="365">
        <f aca="true" t="shared" si="0" ref="P3:P11">O3/N3*100</f>
        <v>98.5093254738158</v>
      </c>
      <c r="Q3" s="365">
        <f>'[2]A stav. inv.'!M102</f>
        <v>29832000</v>
      </c>
      <c r="R3" s="365">
        <f>'[2]A stav. inv.'!N102</f>
        <v>499365131.4</v>
      </c>
      <c r="S3" s="363"/>
      <c r="T3" s="366"/>
      <c r="U3" s="367"/>
      <c r="V3" s="367"/>
      <c r="W3" s="367"/>
      <c r="X3" s="367"/>
      <c r="Y3" s="367"/>
      <c r="Z3" s="367"/>
    </row>
    <row r="4" spans="1:26" s="368" customFormat="1" ht="15" customHeight="1">
      <c r="A4" s="362"/>
      <c r="B4" s="362"/>
      <c r="C4" s="362"/>
      <c r="D4" s="362">
        <v>2</v>
      </c>
      <c r="E4" s="363" t="s">
        <v>344</v>
      </c>
      <c r="F4" s="364">
        <f>'[3]B - PD '!F133</f>
        <v>51878</v>
      </c>
      <c r="G4" s="364">
        <f>'[5]G-SNO'!H9</f>
        <v>0</v>
      </c>
      <c r="H4" s="364">
        <f>'[5]G-SNO'!I9</f>
        <v>9058000</v>
      </c>
      <c r="I4" s="364">
        <f>'[5]G-SNO'!N9</f>
        <v>0</v>
      </c>
      <c r="J4" s="365">
        <f>'[5]G-SNO'!H9</f>
        <v>0</v>
      </c>
      <c r="K4" s="365">
        <f>'[3]B - PD '!G133</f>
        <v>59880500</v>
      </c>
      <c r="L4" s="365">
        <f>'[3]B - PD '!H133</f>
        <v>380000</v>
      </c>
      <c r="M4" s="365">
        <f>'[3]B - PD '!I133</f>
        <v>60260500</v>
      </c>
      <c r="N4" s="365">
        <f>'B - PD '!J129</f>
        <v>50617592</v>
      </c>
      <c r="O4" s="365">
        <f>'B - PD '!K129</f>
        <v>42155458.64</v>
      </c>
      <c r="P4" s="365">
        <f t="shared" si="0"/>
        <v>83.2822285184961</v>
      </c>
      <c r="Q4" s="365">
        <f>'[2]B - PD '!M136</f>
        <v>6046000</v>
      </c>
      <c r="R4" s="365">
        <f>'[2]B - PD '!N136</f>
        <v>54214500</v>
      </c>
      <c r="S4" s="363"/>
      <c r="T4" s="366"/>
      <c r="U4" s="367"/>
      <c r="V4" s="367"/>
      <c r="W4" s="367"/>
      <c r="X4" s="367"/>
      <c r="Y4" s="367"/>
      <c r="Z4" s="367"/>
    </row>
    <row r="5" spans="1:26" s="368" customFormat="1" ht="15" customHeight="1">
      <c r="A5" s="362"/>
      <c r="B5" s="362"/>
      <c r="C5" s="362"/>
      <c r="D5" s="362">
        <v>3</v>
      </c>
      <c r="E5" s="363" t="s">
        <v>87</v>
      </c>
      <c r="F5" s="364">
        <f>'[4]C - OEP  '!F24</f>
        <v>3000</v>
      </c>
      <c r="G5" s="364"/>
      <c r="H5" s="364"/>
      <c r="I5" s="364"/>
      <c r="J5" s="365"/>
      <c r="K5" s="365">
        <f>'[3]C - OEP  '!G25</f>
        <v>5480000</v>
      </c>
      <c r="L5" s="365">
        <f>'[3]C - OEP  '!H25</f>
        <v>0</v>
      </c>
      <c r="M5" s="365">
        <f>'[3]C - OEP  '!I25</f>
        <v>5480000</v>
      </c>
      <c r="N5" s="365">
        <f>'C - OEP  '!J24</f>
        <v>332360</v>
      </c>
      <c r="O5" s="365">
        <f>'C - OEP  '!K24</f>
        <v>147644.49</v>
      </c>
      <c r="P5" s="365">
        <f t="shared" si="0"/>
        <v>44.42306234203875</v>
      </c>
      <c r="Q5" s="365">
        <f>'[2]C - OEP  '!M25</f>
        <v>2500000</v>
      </c>
      <c r="R5" s="365">
        <f>'[2]C - OEP  '!N25</f>
        <v>2980000</v>
      </c>
      <c r="S5" s="363"/>
      <c r="T5" s="366"/>
      <c r="U5" s="367"/>
      <c r="V5" s="367"/>
      <c r="W5" s="367"/>
      <c r="X5" s="367"/>
      <c r="Y5" s="367"/>
      <c r="Z5" s="367"/>
    </row>
    <row r="6" spans="1:26" s="368" customFormat="1" ht="15" customHeight="1">
      <c r="A6" s="362"/>
      <c r="B6" s="362"/>
      <c r="C6" s="362"/>
      <c r="D6" s="362">
        <v>4</v>
      </c>
      <c r="E6" s="363" t="s">
        <v>88</v>
      </c>
      <c r="F6" s="364">
        <f>'[4]D - OKR '!F13</f>
        <v>5500</v>
      </c>
      <c r="G6" s="364"/>
      <c r="H6" s="364"/>
      <c r="I6" s="364"/>
      <c r="J6" s="365"/>
      <c r="K6" s="365">
        <f>'[3]D - OKR '!G19</f>
        <v>8225895</v>
      </c>
      <c r="L6" s="365">
        <f>'[3]D - OKR '!H19</f>
        <v>-200000</v>
      </c>
      <c r="M6" s="365">
        <f>'[3]D - OKR '!I19</f>
        <v>8025895</v>
      </c>
      <c r="N6" s="365">
        <f>'D - OKR '!J18</f>
        <v>7732895</v>
      </c>
      <c r="O6" s="365">
        <f>'D - OKR '!K18</f>
        <v>7619841</v>
      </c>
      <c r="P6" s="365">
        <f t="shared" si="0"/>
        <v>98.53801196059173</v>
      </c>
      <c r="Q6" s="365">
        <f>'[2]D - OKR '!M19</f>
        <v>293000</v>
      </c>
      <c r="R6" s="365">
        <f>'[2]D - OKR '!N19</f>
        <v>7732895</v>
      </c>
      <c r="S6" s="363"/>
      <c r="T6" s="366"/>
      <c r="U6" s="367"/>
      <c r="V6" s="367"/>
      <c r="W6" s="367"/>
      <c r="X6" s="367"/>
      <c r="Y6" s="367"/>
      <c r="Z6" s="367"/>
    </row>
    <row r="7" spans="1:26" s="375" customFormat="1" ht="15" customHeight="1">
      <c r="A7" s="369"/>
      <c r="B7" s="369"/>
      <c r="C7" s="369"/>
      <c r="D7" s="369">
        <v>5</v>
      </c>
      <c r="E7" s="370" t="s">
        <v>816</v>
      </c>
      <c r="F7" s="371">
        <f>'[4] E -nest.inv.'!F17</f>
        <v>4900</v>
      </c>
      <c r="G7" s="371">
        <f>'[5]H-MOVO'!H20</f>
        <v>0</v>
      </c>
      <c r="H7" s="371">
        <f>'[5]H-MOVO'!I20</f>
        <v>70711000</v>
      </c>
      <c r="I7" s="371">
        <f>'[5]H-MOVO'!N20</f>
        <v>0</v>
      </c>
      <c r="J7" s="372">
        <f>'[5]H-MOVO'!H20</f>
        <v>0</v>
      </c>
      <c r="K7" s="372">
        <f>'[3] E -nest.inv.'!G29</f>
        <v>30984161</v>
      </c>
      <c r="L7" s="372">
        <f>'[3] E -nest.inv.'!H29</f>
        <v>29103</v>
      </c>
      <c r="M7" s="372">
        <f>'[3] E -nest.inv.'!I29</f>
        <v>31013264</v>
      </c>
      <c r="N7" s="372">
        <f>' E -nest.inv.'!J30</f>
        <v>29331564</v>
      </c>
      <c r="O7" s="372">
        <f>' E -nest.inv.'!K30</f>
        <v>21573682.4</v>
      </c>
      <c r="P7" s="365">
        <f t="shared" si="0"/>
        <v>73.551081012932</v>
      </c>
      <c r="Q7" s="372">
        <f>'[2] E -nest.inv.'!N29</f>
        <v>1950000</v>
      </c>
      <c r="R7" s="372">
        <f>'[2] E -nest.inv.'!O29</f>
        <v>29063264</v>
      </c>
      <c r="S7" s="370"/>
      <c r="T7" s="373"/>
      <c r="U7" s="374"/>
      <c r="V7" s="374"/>
      <c r="W7" s="374"/>
      <c r="X7" s="374"/>
      <c r="Y7" s="374"/>
      <c r="Z7" s="374"/>
    </row>
    <row r="8" spans="1:26" s="375" customFormat="1" ht="15" customHeight="1">
      <c r="A8" s="369"/>
      <c r="B8" s="369"/>
      <c r="C8" s="369"/>
      <c r="D8" s="369">
        <v>6</v>
      </c>
      <c r="E8" s="370" t="s">
        <v>595</v>
      </c>
      <c r="F8" s="371"/>
      <c r="G8" s="371"/>
      <c r="H8" s="371"/>
      <c r="I8" s="371"/>
      <c r="J8" s="372"/>
      <c r="K8" s="372">
        <f>'[3]F -příspěvky'!G26</f>
        <v>8247845</v>
      </c>
      <c r="L8" s="372">
        <f>'[3]F -příspěvky'!H26</f>
        <v>166268</v>
      </c>
      <c r="M8" s="372">
        <f>'[3]F -příspěvky'!I26</f>
        <v>8414113</v>
      </c>
      <c r="N8" s="372">
        <f>'F -příspěvky'!I29</f>
        <v>8652296</v>
      </c>
      <c r="O8" s="372">
        <f>'F -příspěvky'!J29</f>
        <v>8651424</v>
      </c>
      <c r="P8" s="365">
        <f t="shared" si="0"/>
        <v>99.98992175024988</v>
      </c>
      <c r="Q8" s="372">
        <f>'[3]F -příspěvky'!L26</f>
        <v>0</v>
      </c>
      <c r="R8" s="372">
        <f>'[3]F -příspěvky'!M26</f>
        <v>8414113</v>
      </c>
      <c r="S8" s="370"/>
      <c r="T8" s="373"/>
      <c r="U8" s="374"/>
      <c r="V8" s="374"/>
      <c r="W8" s="374"/>
      <c r="X8" s="374"/>
      <c r="Y8" s="374"/>
      <c r="Z8" s="374"/>
    </row>
    <row r="9" spans="1:26" s="368" customFormat="1" ht="15" customHeight="1">
      <c r="A9" s="362"/>
      <c r="B9" s="362"/>
      <c r="C9" s="362"/>
      <c r="D9" s="362">
        <v>7</v>
      </c>
      <c r="E9" s="363" t="s">
        <v>89</v>
      </c>
      <c r="F9" s="364">
        <f>'[3]G - SNO'!F7</f>
        <v>1767</v>
      </c>
      <c r="G9" s="364">
        <f>'[3]G - SNO'!G7</f>
        <v>34167000</v>
      </c>
      <c r="H9" s="364">
        <f>'[3]G - SNO'!H7</f>
        <v>-918000</v>
      </c>
      <c r="I9" s="364">
        <f>'[3]G - SNO'!I7</f>
        <v>33249000</v>
      </c>
      <c r="J9" s="364">
        <f>'[3]G - SNO'!J7</f>
        <v>0</v>
      </c>
      <c r="K9" s="365">
        <f>'[3]G - SNO'!G7</f>
        <v>34167000</v>
      </c>
      <c r="L9" s="365">
        <f>'[3]G - SNO'!H7</f>
        <v>-918000</v>
      </c>
      <c r="M9" s="365">
        <f>'[3]G - SNO'!I7</f>
        <v>33249000</v>
      </c>
      <c r="N9" s="365">
        <f>'G - SNO'!I6</f>
        <v>23249000</v>
      </c>
      <c r="O9" s="365">
        <f>'G - SNO'!J6</f>
        <v>21936074</v>
      </c>
      <c r="P9" s="365">
        <f t="shared" si="0"/>
        <v>94.352763559723</v>
      </c>
      <c r="Q9" s="372">
        <f>'[2]G - SNO'!L7</f>
        <v>10000000</v>
      </c>
      <c r="R9" s="372">
        <f>'[2]G - SNO'!M7</f>
        <v>23249000</v>
      </c>
      <c r="S9" s="363"/>
      <c r="T9" s="366"/>
      <c r="U9" s="367"/>
      <c r="V9" s="367"/>
      <c r="W9" s="367"/>
      <c r="X9" s="367"/>
      <c r="Y9" s="367"/>
      <c r="Z9" s="367"/>
    </row>
    <row r="10" spans="1:26" s="382" customFormat="1" ht="15" customHeight="1" thickBot="1">
      <c r="A10" s="376"/>
      <c r="B10" s="376"/>
      <c r="C10" s="376"/>
      <c r="D10" s="376">
        <v>8</v>
      </c>
      <c r="E10" s="377" t="s">
        <v>90</v>
      </c>
      <c r="F10" s="378">
        <f>'[3]H - MOVO'!F9</f>
        <v>16000</v>
      </c>
      <c r="G10" s="378"/>
      <c r="H10" s="378"/>
      <c r="I10" s="378"/>
      <c r="J10" s="379"/>
      <c r="K10" s="379">
        <f>'[3]H - MOVO'!G9</f>
        <v>36200000</v>
      </c>
      <c r="L10" s="379">
        <f>'[3]H - MOVO'!H9</f>
        <v>0</v>
      </c>
      <c r="M10" s="379">
        <f>'[3]H - MOVO'!I9</f>
        <v>36200000</v>
      </c>
      <c r="N10" s="372">
        <f>'H - MOVO'!I7</f>
        <v>23700000</v>
      </c>
      <c r="O10" s="365">
        <f>'H - MOVO'!J7</f>
        <v>22934020.41</v>
      </c>
      <c r="P10" s="365">
        <f t="shared" si="0"/>
        <v>96.76801860759494</v>
      </c>
      <c r="Q10" s="372">
        <f>'[2]H - MOVO'!L9</f>
        <v>12000000</v>
      </c>
      <c r="R10" s="372">
        <f>'[2]H - MOVO'!M9</f>
        <v>23200000</v>
      </c>
      <c r="S10" s="377"/>
      <c r="T10" s="380"/>
      <c r="U10" s="381"/>
      <c r="V10" s="381"/>
      <c r="W10" s="381"/>
      <c r="X10" s="381"/>
      <c r="Y10" s="381"/>
      <c r="Z10" s="381"/>
    </row>
    <row r="11" spans="1:20" s="389" customFormat="1" ht="15" customHeight="1" thickBot="1">
      <c r="A11" s="383"/>
      <c r="B11" s="383"/>
      <c r="C11" s="383"/>
      <c r="D11" s="383"/>
      <c r="E11" s="384" t="s">
        <v>456</v>
      </c>
      <c r="F11" s="385">
        <f aca="true" t="shared" si="1" ref="F11:M11">SUM(F3:F10)</f>
        <v>445322</v>
      </c>
      <c r="G11" s="385">
        <f t="shared" si="1"/>
        <v>29940000</v>
      </c>
      <c r="H11" s="385">
        <f t="shared" si="1"/>
        <v>444864362.4</v>
      </c>
      <c r="I11" s="385">
        <f t="shared" si="1"/>
        <v>33249000</v>
      </c>
      <c r="J11" s="385">
        <f t="shared" si="1"/>
        <v>0</v>
      </c>
      <c r="K11" s="386">
        <f t="shared" si="1"/>
        <v>712502532.4</v>
      </c>
      <c r="L11" s="386">
        <f t="shared" si="1"/>
        <v>-662629</v>
      </c>
      <c r="M11" s="386">
        <f t="shared" si="1"/>
        <v>711839903.4</v>
      </c>
      <c r="N11" s="386">
        <f>SUM(N3:N10)</f>
        <v>680288942.47</v>
      </c>
      <c r="O11" s="386">
        <f>SUM(O3:O10)</f>
        <v>653691329.2000002</v>
      </c>
      <c r="P11" s="387">
        <f t="shared" si="0"/>
        <v>96.09024759781792</v>
      </c>
      <c r="Q11" s="387">
        <f>Q3+Q4+Q5+Q6+Q10+Q7+Q9</f>
        <v>62621000</v>
      </c>
      <c r="R11" s="387">
        <f>SUM(R3:R10)</f>
        <v>648218903.4</v>
      </c>
      <c r="S11" s="384"/>
      <c r="T11" s="388"/>
    </row>
    <row r="12" spans="1:26" ht="15" customHeight="1">
      <c r="A12" s="390"/>
      <c r="B12" s="390"/>
      <c r="C12" s="390"/>
      <c r="D12" s="390"/>
      <c r="E12" s="391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1"/>
      <c r="T12" s="390"/>
      <c r="U12" s="393"/>
      <c r="V12" s="393"/>
      <c r="W12" s="393"/>
      <c r="X12" s="393"/>
      <c r="Y12" s="393"/>
      <c r="Z12" s="393"/>
    </row>
    <row r="13" spans="1:26" ht="15" customHeight="1">
      <c r="A13" s="390"/>
      <c r="B13" s="390"/>
      <c r="C13" s="390"/>
      <c r="D13" s="390"/>
      <c r="E13" s="391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1"/>
      <c r="T13" s="390"/>
      <c r="U13" s="393"/>
      <c r="V13" s="393"/>
      <c r="W13" s="393"/>
      <c r="X13" s="393"/>
      <c r="Y13" s="393"/>
      <c r="Z13" s="393"/>
    </row>
    <row r="14" spans="1:26" ht="15" customHeight="1">
      <c r="A14" s="390"/>
      <c r="B14" s="390"/>
      <c r="C14" s="390"/>
      <c r="D14" s="390"/>
      <c r="E14" s="391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1"/>
      <c r="T14" s="390"/>
      <c r="U14" s="393"/>
      <c r="V14" s="393"/>
      <c r="W14" s="393"/>
      <c r="X14" s="393"/>
      <c r="Y14" s="393"/>
      <c r="Z14" s="393"/>
    </row>
    <row r="15" spans="1:26" ht="15" customHeight="1">
      <c r="A15" s="390"/>
      <c r="B15" s="390"/>
      <c r="C15" s="390"/>
      <c r="D15" s="390"/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1221"/>
      <c r="T15" s="1221"/>
      <c r="U15" s="1221"/>
      <c r="V15" s="1221"/>
      <c r="W15" s="1221"/>
      <c r="X15" s="1221"/>
      <c r="Y15" s="1221"/>
      <c r="Z15" s="1221"/>
    </row>
    <row r="16" spans="1:26" ht="15" customHeight="1">
      <c r="A16" s="390"/>
      <c r="B16" s="390"/>
      <c r="C16" s="390"/>
      <c r="D16" s="390"/>
      <c r="E16" s="391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5"/>
      <c r="T16" s="390"/>
      <c r="U16" s="393"/>
      <c r="V16" s="393"/>
      <c r="W16" s="393"/>
      <c r="X16" s="393"/>
      <c r="Y16" s="393"/>
      <c r="Z16" s="393"/>
    </row>
    <row r="17" spans="1:26" ht="15" customHeight="1">
      <c r="A17" s="390"/>
      <c r="B17" s="390"/>
      <c r="C17" s="390"/>
      <c r="D17" s="390"/>
      <c r="E17" s="391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5"/>
      <c r="T17" s="390"/>
      <c r="U17" s="393"/>
      <c r="V17" s="393"/>
      <c r="W17" s="393"/>
      <c r="X17" s="393"/>
      <c r="Y17" s="393"/>
      <c r="Z17" s="393"/>
    </row>
    <row r="18" spans="1:26" ht="15" customHeight="1">
      <c r="A18" s="390"/>
      <c r="B18" s="390"/>
      <c r="C18" s="390"/>
      <c r="D18" s="390"/>
      <c r="E18" s="391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5"/>
      <c r="T18" s="390"/>
      <c r="U18" s="393"/>
      <c r="V18" s="393"/>
      <c r="W18" s="393"/>
      <c r="X18" s="393"/>
      <c r="Y18" s="393"/>
      <c r="Z18" s="393"/>
    </row>
    <row r="19" spans="1:26" ht="15" customHeight="1">
      <c r="A19" s="390"/>
      <c r="B19" s="390"/>
      <c r="C19" s="390"/>
      <c r="D19" s="390"/>
      <c r="E19" s="391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5"/>
      <c r="T19" s="390"/>
      <c r="U19" s="393"/>
      <c r="V19" s="393"/>
      <c r="W19" s="393"/>
      <c r="X19" s="393"/>
      <c r="Y19" s="393"/>
      <c r="Z19" s="393"/>
    </row>
    <row r="20" spans="1:26" ht="15" customHeight="1">
      <c r="A20" s="390"/>
      <c r="B20" s="390"/>
      <c r="C20" s="390"/>
      <c r="D20" s="390"/>
      <c r="E20" s="391"/>
      <c r="F20" s="392"/>
      <c r="G20" s="392"/>
      <c r="H20" s="392"/>
      <c r="I20" s="392"/>
      <c r="J20" s="392"/>
      <c r="K20" s="392"/>
      <c r="L20" s="396"/>
      <c r="M20" s="392"/>
      <c r="N20" s="392"/>
      <c r="O20" s="392"/>
      <c r="P20" s="392"/>
      <c r="Q20" s="392"/>
      <c r="R20" s="392"/>
      <c r="S20" s="395"/>
      <c r="T20" s="390"/>
      <c r="U20" s="393"/>
      <c r="V20" s="393"/>
      <c r="W20" s="393"/>
      <c r="X20" s="393"/>
      <c r="Y20" s="393"/>
      <c r="Z20" s="393"/>
    </row>
    <row r="21" spans="1:26" ht="15" customHeight="1">
      <c r="A21" s="390"/>
      <c r="B21" s="390"/>
      <c r="C21" s="390"/>
      <c r="D21" s="390"/>
      <c r="E21" s="391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1"/>
      <c r="T21" s="390"/>
      <c r="U21" s="393"/>
      <c r="V21" s="393"/>
      <c r="W21" s="393"/>
      <c r="X21" s="393"/>
      <c r="Y21" s="393"/>
      <c r="Z21" s="393"/>
    </row>
    <row r="22" spans="1:26" ht="15" customHeight="1">
      <c r="A22" s="390"/>
      <c r="B22" s="390"/>
      <c r="C22" s="390"/>
      <c r="D22" s="390"/>
      <c r="E22" s="391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1"/>
      <c r="T22" s="390"/>
      <c r="U22" s="393"/>
      <c r="V22" s="393"/>
      <c r="W22" s="393"/>
      <c r="X22" s="393"/>
      <c r="Y22" s="393"/>
      <c r="Z22" s="393"/>
    </row>
  </sheetData>
  <mergeCells count="2">
    <mergeCell ref="S15:Z15"/>
    <mergeCell ref="A2:F2"/>
  </mergeCells>
  <printOptions/>
  <pageMargins left="1.08" right="0.24" top="1.47" bottom="0.5511811023622047" header="0.93" footer="0.2362204724409449"/>
  <pageSetup horizontalDpi="600" verticalDpi="600" orientation="landscape" paperSize="9" scale="75" r:id="rId1"/>
  <headerFooter alignWithMargins="0">
    <oddHeader>&amp;C&amp;"Arial CE,Tučné"&amp;12Schválený rozpočet investičních akcí na rok 2009 - individuální příslib&amp;RPříloha č. 8</oddHeader>
    <oddFooter>&amp;C14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9.00390625" defaultRowHeight="24.75" customHeight="1" outlineLevelCol="1"/>
  <cols>
    <col min="1" max="1" width="30.375" style="566" customWidth="1"/>
    <col min="2" max="2" width="5.125" style="566" customWidth="1"/>
    <col min="3" max="3" width="4.75390625" style="566" customWidth="1"/>
    <col min="4" max="4" width="10.125" style="566" customWidth="1"/>
    <col min="5" max="5" width="33.375" style="419" customWidth="1"/>
    <col min="6" max="6" width="13.875" style="575" customWidth="1"/>
    <col min="7" max="7" width="13.00390625" style="575" hidden="1" customWidth="1" outlineLevel="1"/>
    <col min="8" max="8" width="12.375" style="575" hidden="1" customWidth="1" outlineLevel="1"/>
    <col min="9" max="9" width="13.25390625" style="575" customWidth="1" collapsed="1"/>
    <col min="10" max="10" width="13.125" style="576" customWidth="1"/>
    <col min="11" max="11" width="6.625" style="576" customWidth="1"/>
    <col min="12" max="12" width="12.375" style="576" hidden="1" customWidth="1"/>
    <col min="13" max="13" width="13.75390625" style="576" hidden="1" customWidth="1"/>
    <col min="14" max="14" width="45.75390625" style="565" customWidth="1"/>
    <col min="15" max="15" width="9.125" style="566" customWidth="1"/>
    <col min="16" max="16" width="9.125" style="566" customWidth="1" collapsed="1"/>
    <col min="17" max="17" width="9.125" style="566" customWidth="1"/>
    <col min="18" max="18" width="9.125" style="566" customWidth="1" collapsed="1"/>
    <col min="19" max="19" width="9.125" style="566" customWidth="1"/>
    <col min="20" max="20" width="9.125" style="566" customWidth="1" collapsed="1"/>
    <col min="21" max="21" width="9.125" style="566" customWidth="1"/>
    <col min="22" max="22" width="9.125" style="566" customWidth="1" collapsed="1"/>
    <col min="23" max="23" width="9.125" style="566" customWidth="1"/>
    <col min="24" max="55" width="9.125" style="566" customWidth="1" collapsed="1"/>
    <col min="56" max="16384" width="9.125" style="566" customWidth="1"/>
  </cols>
  <sheetData>
    <row r="1" spans="1:15" s="409" customFormat="1" ht="40.5" customHeight="1" thickBot="1">
      <c r="A1" s="403" t="s">
        <v>455</v>
      </c>
      <c r="B1" s="404" t="s">
        <v>975</v>
      </c>
      <c r="C1" s="403" t="s">
        <v>1085</v>
      </c>
      <c r="D1" s="404" t="s">
        <v>1086</v>
      </c>
      <c r="E1" s="403" t="s">
        <v>1087</v>
      </c>
      <c r="F1" s="405" t="s">
        <v>459</v>
      </c>
      <c r="G1" s="406" t="s">
        <v>1088</v>
      </c>
      <c r="H1" s="405" t="s">
        <v>328</v>
      </c>
      <c r="I1" s="406" t="s">
        <v>1089</v>
      </c>
      <c r="J1" s="406" t="s">
        <v>1090</v>
      </c>
      <c r="K1" s="406" t="s">
        <v>976</v>
      </c>
      <c r="L1" s="406" t="s">
        <v>1091</v>
      </c>
      <c r="M1" s="407" t="s">
        <v>977</v>
      </c>
      <c r="N1" s="403" t="s">
        <v>327</v>
      </c>
      <c r="O1" s="408"/>
    </row>
    <row r="2" spans="1:16" s="419" customFormat="1" ht="12.75" customHeight="1">
      <c r="A2" s="410" t="s">
        <v>457</v>
      </c>
      <c r="B2" s="411">
        <v>2212</v>
      </c>
      <c r="C2" s="411">
        <v>5169</v>
      </c>
      <c r="D2" s="411" t="s">
        <v>1092</v>
      </c>
      <c r="E2" s="412" t="s">
        <v>1093</v>
      </c>
      <c r="F2" s="413">
        <v>52163000</v>
      </c>
      <c r="G2" s="413">
        <v>50463000</v>
      </c>
      <c r="H2" s="413"/>
      <c r="I2" s="413">
        <f aca="true" t="shared" si="0" ref="I2:I10">H2+G2</f>
        <v>50463000</v>
      </c>
      <c r="J2" s="414">
        <f>37556594.9+12763142.8</f>
        <v>50319737.7</v>
      </c>
      <c r="K2" s="415">
        <f aca="true" t="shared" si="1" ref="K2:K10">J2/G2*100</f>
        <v>99.71610427441888</v>
      </c>
      <c r="L2" s="416">
        <v>1000000</v>
      </c>
      <c r="M2" s="417">
        <f aca="true" t="shared" si="2" ref="M2:M10">I2-L2</f>
        <v>49463000</v>
      </c>
      <c r="N2" s="418" t="s">
        <v>1094</v>
      </c>
      <c r="P2" s="420"/>
    </row>
    <row r="3" spans="1:16" s="419" customFormat="1" ht="12.75" customHeight="1">
      <c r="A3" s="421" t="s">
        <v>457</v>
      </c>
      <c r="B3" s="411">
        <v>2212</v>
      </c>
      <c r="C3" s="411">
        <v>5169</v>
      </c>
      <c r="D3" s="411" t="s">
        <v>1092</v>
      </c>
      <c r="E3" s="412" t="s">
        <v>1095</v>
      </c>
      <c r="F3" s="422">
        <v>240000</v>
      </c>
      <c r="G3" s="422">
        <v>240000</v>
      </c>
      <c r="H3" s="423"/>
      <c r="I3" s="422">
        <f t="shared" si="0"/>
        <v>240000</v>
      </c>
      <c r="J3" s="424">
        <v>220000</v>
      </c>
      <c r="K3" s="417">
        <f t="shared" si="1"/>
        <v>91.66666666666666</v>
      </c>
      <c r="L3" s="425"/>
      <c r="M3" s="417">
        <f t="shared" si="2"/>
        <v>240000</v>
      </c>
      <c r="N3" s="426" t="s">
        <v>1096</v>
      </c>
      <c r="P3" s="420"/>
    </row>
    <row r="4" spans="1:16" s="419" customFormat="1" ht="12.75" customHeight="1">
      <c r="A4" s="421" t="s">
        <v>457</v>
      </c>
      <c r="B4" s="427">
        <v>2212</v>
      </c>
      <c r="C4" s="427">
        <v>5169</v>
      </c>
      <c r="D4" s="427" t="s">
        <v>1092</v>
      </c>
      <c r="E4" s="428" t="s">
        <v>1097</v>
      </c>
      <c r="F4" s="423">
        <v>350000</v>
      </c>
      <c r="G4" s="423">
        <v>350000</v>
      </c>
      <c r="H4" s="423"/>
      <c r="I4" s="422">
        <f t="shared" si="0"/>
        <v>350000</v>
      </c>
      <c r="J4" s="424">
        <v>349543.5</v>
      </c>
      <c r="K4" s="417">
        <f t="shared" si="1"/>
        <v>99.86957142857142</v>
      </c>
      <c r="L4" s="425"/>
      <c r="M4" s="417">
        <f t="shared" si="2"/>
        <v>350000</v>
      </c>
      <c r="N4" s="426" t="s">
        <v>1098</v>
      </c>
      <c r="P4" s="420"/>
    </row>
    <row r="5" spans="1:16" s="419" customFormat="1" ht="12.75" customHeight="1">
      <c r="A5" s="421" t="s">
        <v>457</v>
      </c>
      <c r="B5" s="427">
        <v>2212</v>
      </c>
      <c r="C5" s="427">
        <v>5169</v>
      </c>
      <c r="D5" s="427" t="s">
        <v>1092</v>
      </c>
      <c r="E5" s="428" t="s">
        <v>1099</v>
      </c>
      <c r="F5" s="423">
        <v>5130000</v>
      </c>
      <c r="G5" s="423">
        <v>5130000</v>
      </c>
      <c r="H5" s="423"/>
      <c r="I5" s="422">
        <f t="shared" si="0"/>
        <v>5130000</v>
      </c>
      <c r="J5" s="424">
        <v>5130000</v>
      </c>
      <c r="K5" s="417">
        <f t="shared" si="1"/>
        <v>100</v>
      </c>
      <c r="L5" s="425"/>
      <c r="M5" s="417">
        <f t="shared" si="2"/>
        <v>5130000</v>
      </c>
      <c r="N5" s="426" t="s">
        <v>1100</v>
      </c>
      <c r="P5" s="420"/>
    </row>
    <row r="6" spans="1:16" s="419" customFormat="1" ht="12.75" customHeight="1">
      <c r="A6" s="421" t="s">
        <v>457</v>
      </c>
      <c r="B6" s="427">
        <v>2212</v>
      </c>
      <c r="C6" s="427">
        <v>5169</v>
      </c>
      <c r="D6" s="427" t="s">
        <v>1092</v>
      </c>
      <c r="E6" s="428" t="s">
        <v>1101</v>
      </c>
      <c r="F6" s="423">
        <v>450000</v>
      </c>
      <c r="G6" s="423">
        <v>450000</v>
      </c>
      <c r="H6" s="423"/>
      <c r="I6" s="422">
        <f t="shared" si="0"/>
        <v>450000</v>
      </c>
      <c r="J6" s="424">
        <v>448200</v>
      </c>
      <c r="K6" s="417">
        <f t="shared" si="1"/>
        <v>99.6</v>
      </c>
      <c r="L6" s="425"/>
      <c r="M6" s="417">
        <f t="shared" si="2"/>
        <v>450000</v>
      </c>
      <c r="N6" s="426" t="s">
        <v>1102</v>
      </c>
      <c r="P6" s="420"/>
    </row>
    <row r="7" spans="1:16" s="419" customFormat="1" ht="12.75" customHeight="1">
      <c r="A7" s="421" t="s">
        <v>457</v>
      </c>
      <c r="B7" s="427">
        <v>2212</v>
      </c>
      <c r="C7" s="427">
        <v>5169</v>
      </c>
      <c r="D7" s="427" t="s">
        <v>1092</v>
      </c>
      <c r="E7" s="428" t="s">
        <v>1103</v>
      </c>
      <c r="F7" s="423">
        <v>1353000</v>
      </c>
      <c r="G7" s="423">
        <v>1353000</v>
      </c>
      <c r="H7" s="423"/>
      <c r="I7" s="422">
        <f t="shared" si="0"/>
        <v>1353000</v>
      </c>
      <c r="J7" s="424">
        <v>1347666.5</v>
      </c>
      <c r="K7" s="417">
        <f t="shared" si="1"/>
        <v>99.60580192165558</v>
      </c>
      <c r="L7" s="425"/>
      <c r="M7" s="417">
        <f t="shared" si="2"/>
        <v>1353000</v>
      </c>
      <c r="N7" s="426" t="s">
        <v>1104</v>
      </c>
      <c r="P7" s="420"/>
    </row>
    <row r="8" spans="1:16" s="419" customFormat="1" ht="12.75" customHeight="1">
      <c r="A8" s="421" t="s">
        <v>457</v>
      </c>
      <c r="B8" s="427">
        <v>2212</v>
      </c>
      <c r="C8" s="427">
        <v>5169</v>
      </c>
      <c r="D8" s="427" t="s">
        <v>1092</v>
      </c>
      <c r="E8" s="428" t="s">
        <v>1105</v>
      </c>
      <c r="F8" s="423">
        <v>71000</v>
      </c>
      <c r="G8" s="423">
        <v>71000</v>
      </c>
      <c r="H8" s="423"/>
      <c r="I8" s="422">
        <f t="shared" si="0"/>
        <v>71000</v>
      </c>
      <c r="J8" s="424">
        <v>70753.7</v>
      </c>
      <c r="K8" s="417">
        <f t="shared" si="1"/>
        <v>99.6530985915493</v>
      </c>
      <c r="L8" s="425"/>
      <c r="M8" s="417">
        <f t="shared" si="2"/>
        <v>71000</v>
      </c>
      <c r="N8" s="426" t="s">
        <v>1106</v>
      </c>
      <c r="P8" s="420"/>
    </row>
    <row r="9" spans="1:16" s="419" customFormat="1" ht="12.75" customHeight="1">
      <c r="A9" s="421" t="s">
        <v>457</v>
      </c>
      <c r="B9" s="427">
        <v>2221</v>
      </c>
      <c r="C9" s="427">
        <v>5193</v>
      </c>
      <c r="D9" s="427" t="s">
        <v>1107</v>
      </c>
      <c r="E9" s="428" t="s">
        <v>1108</v>
      </c>
      <c r="F9" s="423">
        <v>180000000</v>
      </c>
      <c r="G9" s="423">
        <v>180000000</v>
      </c>
      <c r="H9" s="423"/>
      <c r="I9" s="422">
        <f t="shared" si="0"/>
        <v>180000000</v>
      </c>
      <c r="J9" s="424">
        <v>180000000</v>
      </c>
      <c r="K9" s="417">
        <f t="shared" si="1"/>
        <v>100</v>
      </c>
      <c r="L9" s="425"/>
      <c r="M9" s="417">
        <f t="shared" si="2"/>
        <v>180000000</v>
      </c>
      <c r="N9" s="426" t="s">
        <v>1109</v>
      </c>
      <c r="P9" s="420"/>
    </row>
    <row r="10" spans="1:16" s="419" customFormat="1" ht="12.75" customHeight="1">
      <c r="A10" s="421" t="s">
        <v>457</v>
      </c>
      <c r="B10" s="427">
        <v>2221</v>
      </c>
      <c r="C10" s="427">
        <v>5193</v>
      </c>
      <c r="D10" s="429" t="s">
        <v>1110</v>
      </c>
      <c r="E10" s="428" t="s">
        <v>1108</v>
      </c>
      <c r="F10" s="423">
        <v>11905000</v>
      </c>
      <c r="G10" s="423">
        <v>11738000</v>
      </c>
      <c r="H10" s="423">
        <v>-817752</v>
      </c>
      <c r="I10" s="422">
        <f t="shared" si="0"/>
        <v>10920248</v>
      </c>
      <c r="J10" s="424">
        <v>10899147</v>
      </c>
      <c r="K10" s="417">
        <f t="shared" si="1"/>
        <v>92.85352700630432</v>
      </c>
      <c r="L10" s="425"/>
      <c r="M10" s="417">
        <f t="shared" si="2"/>
        <v>10920248</v>
      </c>
      <c r="N10" s="426" t="s">
        <v>1111</v>
      </c>
      <c r="P10" s="420"/>
    </row>
    <row r="11" spans="1:16" s="419" customFormat="1" ht="12.75" customHeight="1">
      <c r="A11" s="421"/>
      <c r="B11" s="427"/>
      <c r="C11" s="427"/>
      <c r="D11" s="430" t="s">
        <v>1112</v>
      </c>
      <c r="E11" s="428"/>
      <c r="F11" s="423"/>
      <c r="G11" s="423"/>
      <c r="H11" s="423"/>
      <c r="I11" s="422"/>
      <c r="J11" s="424"/>
      <c r="K11" s="417"/>
      <c r="L11" s="425"/>
      <c r="M11" s="425"/>
      <c r="N11" s="426"/>
      <c r="P11" s="420"/>
    </row>
    <row r="12" spans="1:16" s="419" customFormat="1" ht="12.75" customHeight="1">
      <c r="A12" s="421"/>
      <c r="B12" s="427"/>
      <c r="C12" s="427"/>
      <c r="D12" s="431" t="s">
        <v>1113</v>
      </c>
      <c r="E12" s="428"/>
      <c r="F12" s="423"/>
      <c r="G12" s="423"/>
      <c r="H12" s="423"/>
      <c r="I12" s="422"/>
      <c r="J12" s="424"/>
      <c r="K12" s="417"/>
      <c r="L12" s="425"/>
      <c r="M12" s="425"/>
      <c r="N12" s="426"/>
      <c r="P12" s="420"/>
    </row>
    <row r="13" spans="1:16" s="419" customFormat="1" ht="12.75" customHeight="1">
      <c r="A13" s="421" t="s">
        <v>457</v>
      </c>
      <c r="B13" s="427">
        <v>2221</v>
      </c>
      <c r="C13" s="427">
        <v>5193</v>
      </c>
      <c r="D13" s="427" t="s">
        <v>1114</v>
      </c>
      <c r="E13" s="428" t="s">
        <v>1115</v>
      </c>
      <c r="F13" s="423">
        <v>519000</v>
      </c>
      <c r="G13" s="423">
        <v>369000</v>
      </c>
      <c r="H13" s="423">
        <v>-369000</v>
      </c>
      <c r="I13" s="422">
        <f>H13+G13</f>
        <v>0</v>
      </c>
      <c r="J13" s="424">
        <v>0</v>
      </c>
      <c r="K13" s="417">
        <f>J13/G13*100</f>
        <v>0</v>
      </c>
      <c r="L13" s="425"/>
      <c r="M13" s="417">
        <f>I13-L13</f>
        <v>0</v>
      </c>
      <c r="N13" s="426" t="s">
        <v>1116</v>
      </c>
      <c r="P13" s="420"/>
    </row>
    <row r="14" spans="1:16" s="419" customFormat="1" ht="12.75" customHeight="1">
      <c r="A14" s="421" t="s">
        <v>457</v>
      </c>
      <c r="B14" s="427">
        <v>2221</v>
      </c>
      <c r="C14" s="427">
        <v>5193</v>
      </c>
      <c r="D14" s="427" t="s">
        <v>1114</v>
      </c>
      <c r="E14" s="428" t="s">
        <v>1117</v>
      </c>
      <c r="F14" s="423">
        <v>80000</v>
      </c>
      <c r="G14" s="423">
        <v>61732</v>
      </c>
      <c r="H14" s="423"/>
      <c r="I14" s="422">
        <f>H14+G14</f>
        <v>61732</v>
      </c>
      <c r="J14" s="424">
        <v>61732</v>
      </c>
      <c r="K14" s="417">
        <f>J14/I14*100</f>
        <v>100</v>
      </c>
      <c r="L14" s="425"/>
      <c r="M14" s="417">
        <f>I14-L14</f>
        <v>61732</v>
      </c>
      <c r="N14" s="426" t="s">
        <v>1118</v>
      </c>
      <c r="P14" s="420"/>
    </row>
    <row r="15" spans="1:16" s="419" customFormat="1" ht="12.75" customHeight="1">
      <c r="A15" s="421" t="s">
        <v>457</v>
      </c>
      <c r="B15" s="427">
        <v>2221</v>
      </c>
      <c r="C15" s="427">
        <v>5193</v>
      </c>
      <c r="D15" s="427" t="s">
        <v>1114</v>
      </c>
      <c r="E15" s="428" t="s">
        <v>1119</v>
      </c>
      <c r="F15" s="423">
        <v>2100000</v>
      </c>
      <c r="G15" s="423">
        <v>2100000</v>
      </c>
      <c r="H15" s="423">
        <v>1659085</v>
      </c>
      <c r="I15" s="422">
        <f>H15+G15</f>
        <v>3759085</v>
      </c>
      <c r="J15" s="424">
        <v>3759085</v>
      </c>
      <c r="K15" s="417">
        <f>J15/G15*100</f>
        <v>179.0040476190476</v>
      </c>
      <c r="L15" s="425"/>
      <c r="M15" s="417">
        <f>I15-L15</f>
        <v>3759085</v>
      </c>
      <c r="N15" s="426" t="s">
        <v>1120</v>
      </c>
      <c r="P15" s="420"/>
    </row>
    <row r="16" spans="1:16" s="419" customFormat="1" ht="12.75" customHeight="1">
      <c r="A16" s="421" t="s">
        <v>457</v>
      </c>
      <c r="B16" s="427">
        <v>3631</v>
      </c>
      <c r="C16" s="427">
        <v>5169</v>
      </c>
      <c r="D16" s="427" t="s">
        <v>1092</v>
      </c>
      <c r="E16" s="428" t="s">
        <v>401</v>
      </c>
      <c r="F16" s="423">
        <v>45513000</v>
      </c>
      <c r="G16" s="423">
        <v>45513000</v>
      </c>
      <c r="H16" s="423"/>
      <c r="I16" s="422">
        <f>H16+G16</f>
        <v>45513000</v>
      </c>
      <c r="J16" s="424">
        <v>45512323.5</v>
      </c>
      <c r="K16" s="417">
        <f>J16/G16*100</f>
        <v>99.99851361149562</v>
      </c>
      <c r="L16" s="432"/>
      <c r="M16" s="417">
        <f>I16-L16</f>
        <v>45513000</v>
      </c>
      <c r="N16" s="426" t="s">
        <v>402</v>
      </c>
      <c r="P16" s="420"/>
    </row>
    <row r="17" spans="1:16" s="419" customFormat="1" ht="12.75" customHeight="1">
      <c r="A17" s="421" t="s">
        <v>457</v>
      </c>
      <c r="B17" s="427">
        <v>3631</v>
      </c>
      <c r="C17" s="427">
        <v>5169</v>
      </c>
      <c r="D17" s="427" t="s">
        <v>1092</v>
      </c>
      <c r="E17" s="433" t="s">
        <v>403</v>
      </c>
      <c r="F17" s="434">
        <v>450000</v>
      </c>
      <c r="G17" s="434">
        <v>450000</v>
      </c>
      <c r="H17" s="434"/>
      <c r="I17" s="413">
        <f>H17+G17</f>
        <v>450000</v>
      </c>
      <c r="J17" s="424">
        <v>443749.4</v>
      </c>
      <c r="K17" s="417">
        <f>J17/G17*100</f>
        <v>98.61097777777779</v>
      </c>
      <c r="L17" s="425"/>
      <c r="M17" s="417">
        <f>I17-L17</f>
        <v>450000</v>
      </c>
      <c r="N17" s="426" t="s">
        <v>404</v>
      </c>
      <c r="P17" s="420"/>
    </row>
    <row r="18" spans="1:16" s="419" customFormat="1" ht="15.75" customHeight="1" thickBot="1">
      <c r="A18" s="435" t="s">
        <v>405</v>
      </c>
      <c r="B18" s="436"/>
      <c r="C18" s="436"/>
      <c r="D18" s="436"/>
      <c r="E18" s="437"/>
      <c r="F18" s="438">
        <f>SUM(F2:F17)</f>
        <v>300324000</v>
      </c>
      <c r="G18" s="438">
        <f>SUM(G2:G17)</f>
        <v>298288732</v>
      </c>
      <c r="H18" s="438">
        <f>SUM(H2:H17)</f>
        <v>472333</v>
      </c>
      <c r="I18" s="438">
        <f>SUM(I2:I17)</f>
        <v>298761065</v>
      </c>
      <c r="J18" s="438">
        <f>SUM(J2:J17)</f>
        <v>298561938.29999995</v>
      </c>
      <c r="K18" s="439">
        <f>J18/I18*100</f>
        <v>99.93334917988726</v>
      </c>
      <c r="L18" s="438">
        <f>SUM(L2:L17)</f>
        <v>1000000</v>
      </c>
      <c r="M18" s="438">
        <f>SUM(M2:M17)</f>
        <v>297761065</v>
      </c>
      <c r="N18" s="440"/>
      <c r="P18" s="441"/>
    </row>
    <row r="19" spans="1:16" s="3" customFormat="1" ht="13.5" customHeight="1" thickBot="1">
      <c r="A19" s="442"/>
      <c r="B19" s="442"/>
      <c r="C19" s="442"/>
      <c r="D19" s="442"/>
      <c r="F19" s="4"/>
      <c r="G19" s="4"/>
      <c r="H19" s="4"/>
      <c r="I19" s="4"/>
      <c r="J19" s="443"/>
      <c r="K19" s="444"/>
      <c r="L19" s="444"/>
      <c r="M19" s="444"/>
      <c r="P19" s="420"/>
    </row>
    <row r="20" spans="1:16" s="419" customFormat="1" ht="12.75" customHeight="1">
      <c r="A20" s="445" t="s">
        <v>406</v>
      </c>
      <c r="B20" s="446">
        <v>2229</v>
      </c>
      <c r="C20" s="446">
        <v>5169</v>
      </c>
      <c r="D20" s="447" t="s">
        <v>1092</v>
      </c>
      <c r="E20" s="1190" t="s">
        <v>407</v>
      </c>
      <c r="F20" s="449">
        <v>50000</v>
      </c>
      <c r="G20" s="449">
        <v>50000</v>
      </c>
      <c r="H20" s="449"/>
      <c r="I20" s="449">
        <v>50000</v>
      </c>
      <c r="J20" s="450">
        <v>0</v>
      </c>
      <c r="K20" s="451">
        <f>J20/G20*100</f>
        <v>0</v>
      </c>
      <c r="L20" s="452"/>
      <c r="M20" s="451">
        <f>I20-L20</f>
        <v>50000</v>
      </c>
      <c r="N20" s="453" t="s">
        <v>408</v>
      </c>
      <c r="P20" s="420"/>
    </row>
    <row r="21" spans="1:16" s="419" customFormat="1" ht="12.75" customHeight="1">
      <c r="A21" s="421"/>
      <c r="B21" s="454"/>
      <c r="C21" s="454"/>
      <c r="D21" s="455"/>
      <c r="E21" s="1191"/>
      <c r="F21" s="434"/>
      <c r="G21" s="434"/>
      <c r="H21" s="434"/>
      <c r="I21" s="434"/>
      <c r="J21" s="424"/>
      <c r="K21" s="417"/>
      <c r="L21" s="457"/>
      <c r="M21" s="457"/>
      <c r="N21" s="458"/>
      <c r="P21" s="420"/>
    </row>
    <row r="22" spans="1:16" s="419" customFormat="1" ht="12.75" customHeight="1">
      <c r="A22" s="459" t="s">
        <v>406</v>
      </c>
      <c r="B22" s="455">
        <v>3421</v>
      </c>
      <c r="C22" s="455">
        <v>5169</v>
      </c>
      <c r="D22" s="455" t="s">
        <v>1092</v>
      </c>
      <c r="E22" s="460" t="s">
        <v>409</v>
      </c>
      <c r="F22" s="461">
        <v>300000</v>
      </c>
      <c r="G22" s="461">
        <v>300000</v>
      </c>
      <c r="H22" s="422"/>
      <c r="I22" s="461">
        <v>300000</v>
      </c>
      <c r="J22" s="424">
        <v>296868.9</v>
      </c>
      <c r="K22" s="417">
        <f>J22/G22*100</f>
        <v>98.95630000000001</v>
      </c>
      <c r="L22" s="417"/>
      <c r="M22" s="417">
        <f>I22-L22</f>
        <v>300000</v>
      </c>
      <c r="N22" s="462" t="s">
        <v>410</v>
      </c>
      <c r="P22" s="420"/>
    </row>
    <row r="23" spans="1:16" s="419" customFormat="1" ht="15.75" customHeight="1" thickBot="1">
      <c r="A23" s="435" t="s">
        <v>84</v>
      </c>
      <c r="B23" s="436"/>
      <c r="C23" s="436"/>
      <c r="D23" s="436"/>
      <c r="E23" s="437"/>
      <c r="F23" s="438">
        <f>SUM(F20:F22)</f>
        <v>350000</v>
      </c>
      <c r="G23" s="438">
        <f>SUM(G20:G22)</f>
        <v>350000</v>
      </c>
      <c r="H23" s="463"/>
      <c r="I23" s="438">
        <f>SUM(I20:I22)</f>
        <v>350000</v>
      </c>
      <c r="J23" s="438">
        <f>SUM(J20:J22)</f>
        <v>296868.9</v>
      </c>
      <c r="K23" s="439">
        <f>J23/I23*100</f>
        <v>84.81968571428573</v>
      </c>
      <c r="L23" s="438">
        <f>SUM(L20:L22)</f>
        <v>0</v>
      </c>
      <c r="M23" s="438">
        <f>SUM(M20:M22)</f>
        <v>350000</v>
      </c>
      <c r="N23" s="440"/>
      <c r="P23" s="420"/>
    </row>
    <row r="24" spans="1:16" s="3" customFormat="1" ht="13.5" customHeight="1" thickBot="1">
      <c r="A24" s="442"/>
      <c r="B24" s="442"/>
      <c r="C24" s="442"/>
      <c r="D24" s="442"/>
      <c r="F24" s="4"/>
      <c r="G24" s="4"/>
      <c r="H24" s="4"/>
      <c r="I24" s="4"/>
      <c r="J24" s="443"/>
      <c r="K24" s="444"/>
      <c r="L24" s="444"/>
      <c r="M24" s="444"/>
      <c r="P24" s="420"/>
    </row>
    <row r="25" spans="1:16" s="419" customFormat="1" ht="12.75" customHeight="1">
      <c r="A25" s="464" t="s">
        <v>458</v>
      </c>
      <c r="B25" s="446">
        <v>3745</v>
      </c>
      <c r="C25" s="446">
        <v>5169</v>
      </c>
      <c r="D25" s="447" t="s">
        <v>1092</v>
      </c>
      <c r="E25" s="465" t="s">
        <v>85</v>
      </c>
      <c r="F25" s="466">
        <v>347000</v>
      </c>
      <c r="G25" s="466">
        <v>347000</v>
      </c>
      <c r="H25" s="466"/>
      <c r="I25" s="466">
        <v>347000</v>
      </c>
      <c r="J25" s="450">
        <v>345586.7</v>
      </c>
      <c r="K25" s="451">
        <f>J25/G25*100</f>
        <v>99.59270893371757</v>
      </c>
      <c r="L25" s="452"/>
      <c r="M25" s="451">
        <f>I25-L25</f>
        <v>347000</v>
      </c>
      <c r="N25" s="453" t="s">
        <v>408</v>
      </c>
      <c r="P25" s="420"/>
    </row>
    <row r="26" spans="1:16" s="419" customFormat="1" ht="12.75" customHeight="1">
      <c r="A26" s="467" t="s">
        <v>458</v>
      </c>
      <c r="B26" s="454">
        <v>6409</v>
      </c>
      <c r="C26" s="454">
        <v>5169</v>
      </c>
      <c r="D26" s="468" t="s">
        <v>1092</v>
      </c>
      <c r="E26" s="460" t="s">
        <v>542</v>
      </c>
      <c r="F26" s="434">
        <v>1155000</v>
      </c>
      <c r="G26" s="434">
        <v>1155000</v>
      </c>
      <c r="H26" s="434"/>
      <c r="I26" s="434">
        <v>1155000</v>
      </c>
      <c r="J26" s="424">
        <v>1154999.6</v>
      </c>
      <c r="K26" s="417">
        <f>J26/G26*100</f>
        <v>99.99996536796537</v>
      </c>
      <c r="L26" s="457"/>
      <c r="M26" s="415">
        <f>I26-L26</f>
        <v>1155000</v>
      </c>
      <c r="N26" s="458" t="s">
        <v>408</v>
      </c>
      <c r="P26" s="420"/>
    </row>
    <row r="27" spans="1:16" s="419" customFormat="1" ht="15.75" customHeight="1" thickBot="1">
      <c r="A27" s="435" t="s">
        <v>543</v>
      </c>
      <c r="B27" s="436"/>
      <c r="C27" s="436"/>
      <c r="D27" s="436"/>
      <c r="E27" s="469"/>
      <c r="F27" s="438">
        <f>SUM(F25:F26)</f>
        <v>1502000</v>
      </c>
      <c r="G27" s="438">
        <f>SUM(G25:G26)</f>
        <v>1502000</v>
      </c>
      <c r="H27" s="463"/>
      <c r="I27" s="438">
        <f>SUM(I25:I26)</f>
        <v>1502000</v>
      </c>
      <c r="J27" s="438">
        <f>SUM(J25:J26)</f>
        <v>1500586.3</v>
      </c>
      <c r="K27" s="439">
        <f>J27/I27*100</f>
        <v>99.90587882822904</v>
      </c>
      <c r="L27" s="438">
        <f>SUM(L25:L26)</f>
        <v>0</v>
      </c>
      <c r="M27" s="438">
        <f>SUM(M25:M26)</f>
        <v>1502000</v>
      </c>
      <c r="N27" s="440"/>
      <c r="P27" s="441"/>
    </row>
    <row r="28" spans="1:16" s="3" customFormat="1" ht="13.5" customHeight="1" thickBot="1">
      <c r="A28" s="442"/>
      <c r="B28" s="442"/>
      <c r="C28" s="442"/>
      <c r="D28" s="442"/>
      <c r="F28" s="4"/>
      <c r="G28" s="4"/>
      <c r="H28" s="4"/>
      <c r="I28" s="4"/>
      <c r="J28" s="443"/>
      <c r="K28" s="444"/>
      <c r="L28" s="444"/>
      <c r="M28" s="444"/>
      <c r="P28" s="420"/>
    </row>
    <row r="29" spans="1:16" s="419" customFormat="1" ht="12.75" customHeight="1">
      <c r="A29" s="445" t="s">
        <v>69</v>
      </c>
      <c r="B29" s="446">
        <v>2141</v>
      </c>
      <c r="C29" s="446">
        <v>5169</v>
      </c>
      <c r="D29" s="1188" t="s">
        <v>544</v>
      </c>
      <c r="E29" s="471" t="s">
        <v>545</v>
      </c>
      <c r="F29" s="466">
        <v>27259000</v>
      </c>
      <c r="G29" s="466">
        <v>32258563</v>
      </c>
      <c r="H29" s="466"/>
      <c r="I29" s="449">
        <f>H29+G29</f>
        <v>32258563</v>
      </c>
      <c r="J29" s="450">
        <v>32258447</v>
      </c>
      <c r="K29" s="451">
        <f>J29/I29*100</f>
        <v>99.99964040555682</v>
      </c>
      <c r="L29" s="452"/>
      <c r="M29" s="472">
        <f>I29-L29</f>
        <v>32258563</v>
      </c>
      <c r="N29" s="453" t="s">
        <v>546</v>
      </c>
      <c r="P29" s="420"/>
    </row>
    <row r="30" spans="1:16" s="419" customFormat="1" ht="12.75" customHeight="1">
      <c r="A30" s="421"/>
      <c r="B30" s="473"/>
      <c r="C30" s="473"/>
      <c r="D30" s="1189"/>
      <c r="E30" s="474"/>
      <c r="F30" s="475"/>
      <c r="G30" s="475"/>
      <c r="H30" s="475"/>
      <c r="I30" s="422"/>
      <c r="J30" s="424"/>
      <c r="K30" s="417"/>
      <c r="L30" s="425"/>
      <c r="M30" s="417"/>
      <c r="N30" s="426"/>
      <c r="P30" s="420"/>
    </row>
    <row r="31" spans="1:16" s="419" customFormat="1" ht="12.75" customHeight="1">
      <c r="A31" s="421" t="s">
        <v>69</v>
      </c>
      <c r="B31" s="473">
        <v>3722</v>
      </c>
      <c r="C31" s="473">
        <v>5169</v>
      </c>
      <c r="D31" s="427" t="s">
        <v>1092</v>
      </c>
      <c r="E31" s="476" t="s">
        <v>547</v>
      </c>
      <c r="F31" s="475">
        <v>76777000</v>
      </c>
      <c r="G31" s="475">
        <v>71468000</v>
      </c>
      <c r="H31" s="475">
        <v>-5000000</v>
      </c>
      <c r="I31" s="422">
        <f>H31+G31</f>
        <v>66468000</v>
      </c>
      <c r="J31" s="424">
        <v>66057538.5</v>
      </c>
      <c r="K31" s="417">
        <f aca="true" t="shared" si="3" ref="K31:K36">J31/I31*100</f>
        <v>99.3824675031594</v>
      </c>
      <c r="L31" s="425">
        <v>5000000</v>
      </c>
      <c r="M31" s="417">
        <f>I31-L31</f>
        <v>61468000</v>
      </c>
      <c r="N31" s="426" t="s">
        <v>408</v>
      </c>
      <c r="P31" s="420"/>
    </row>
    <row r="32" spans="1:16" s="419" customFormat="1" ht="12.75" customHeight="1">
      <c r="A32" s="421" t="s">
        <v>69</v>
      </c>
      <c r="B32" s="473">
        <v>3722</v>
      </c>
      <c r="C32" s="473">
        <v>5169</v>
      </c>
      <c r="D32" s="427" t="s">
        <v>1092</v>
      </c>
      <c r="E32" s="428" t="s">
        <v>548</v>
      </c>
      <c r="F32" s="475">
        <v>35680000</v>
      </c>
      <c r="G32" s="475">
        <v>35680000</v>
      </c>
      <c r="H32" s="475"/>
      <c r="I32" s="422">
        <f>H32+G32</f>
        <v>35680000</v>
      </c>
      <c r="J32" s="424">
        <v>35679996.8</v>
      </c>
      <c r="K32" s="417">
        <f t="shared" si="3"/>
        <v>99.99999103139012</v>
      </c>
      <c r="L32" s="425"/>
      <c r="M32" s="417">
        <f>I32-L32</f>
        <v>35680000</v>
      </c>
      <c r="N32" s="426" t="s">
        <v>549</v>
      </c>
      <c r="P32" s="420"/>
    </row>
    <row r="33" spans="1:16" s="419" customFormat="1" ht="12.75" customHeight="1">
      <c r="A33" s="421" t="s">
        <v>69</v>
      </c>
      <c r="B33" s="473">
        <v>3745</v>
      </c>
      <c r="C33" s="473">
        <v>5169</v>
      </c>
      <c r="D33" s="427" t="s">
        <v>1092</v>
      </c>
      <c r="E33" s="428" t="s">
        <v>104</v>
      </c>
      <c r="F33" s="475">
        <v>40946000</v>
      </c>
      <c r="G33" s="475">
        <v>40946000</v>
      </c>
      <c r="H33" s="475">
        <v>-4000000</v>
      </c>
      <c r="I33" s="422">
        <f>H33+G33</f>
        <v>36946000</v>
      </c>
      <c r="J33" s="424">
        <v>36946000.2</v>
      </c>
      <c r="K33" s="417">
        <f t="shared" si="3"/>
        <v>100.0000005413306</v>
      </c>
      <c r="L33" s="432">
        <v>4000000</v>
      </c>
      <c r="M33" s="417">
        <f>I33-L33</f>
        <v>32946000</v>
      </c>
      <c r="N33" s="426" t="s">
        <v>408</v>
      </c>
      <c r="P33" s="420"/>
    </row>
    <row r="34" spans="1:16" s="419" customFormat="1" ht="12.75" customHeight="1">
      <c r="A34" s="421" t="s">
        <v>69</v>
      </c>
      <c r="B34" s="454">
        <v>3745</v>
      </c>
      <c r="C34" s="454">
        <v>5169</v>
      </c>
      <c r="D34" s="455" t="s">
        <v>1092</v>
      </c>
      <c r="E34" s="460" t="s">
        <v>105</v>
      </c>
      <c r="F34" s="475">
        <v>450000</v>
      </c>
      <c r="G34" s="475">
        <v>450000</v>
      </c>
      <c r="H34" s="413"/>
      <c r="I34" s="422">
        <f>H34+G34</f>
        <v>450000</v>
      </c>
      <c r="J34" s="424">
        <v>450000</v>
      </c>
      <c r="K34" s="417">
        <f t="shared" si="3"/>
        <v>100</v>
      </c>
      <c r="L34" s="457"/>
      <c r="M34" s="417">
        <f>I34-L34</f>
        <v>450000</v>
      </c>
      <c r="N34" s="458" t="s">
        <v>106</v>
      </c>
      <c r="P34" s="420"/>
    </row>
    <row r="35" spans="1:16" s="419" customFormat="1" ht="12.75" customHeight="1">
      <c r="A35" s="477" t="s">
        <v>69</v>
      </c>
      <c r="B35" s="454">
        <v>6409</v>
      </c>
      <c r="C35" s="454">
        <v>5169</v>
      </c>
      <c r="D35" s="455" t="s">
        <v>1092</v>
      </c>
      <c r="E35" s="460" t="s">
        <v>107</v>
      </c>
      <c r="F35" s="422">
        <v>840000</v>
      </c>
      <c r="G35" s="422">
        <v>1390000</v>
      </c>
      <c r="H35" s="434"/>
      <c r="I35" s="413">
        <f>H35+G35</f>
        <v>1390000</v>
      </c>
      <c r="J35" s="424">
        <v>1389975</v>
      </c>
      <c r="K35" s="417">
        <f t="shared" si="3"/>
        <v>99.99820143884892</v>
      </c>
      <c r="L35" s="457"/>
      <c r="M35" s="415">
        <f>I35-L35</f>
        <v>1390000</v>
      </c>
      <c r="N35" s="458" t="s">
        <v>408</v>
      </c>
      <c r="P35" s="420"/>
    </row>
    <row r="36" spans="1:16" s="419" customFormat="1" ht="15.75" customHeight="1" thickBot="1">
      <c r="A36" s="435" t="s">
        <v>108</v>
      </c>
      <c r="B36" s="436"/>
      <c r="C36" s="436"/>
      <c r="D36" s="436"/>
      <c r="E36" s="437"/>
      <c r="F36" s="478">
        <f>SUM(F29:F35)</f>
        <v>181952000</v>
      </c>
      <c r="G36" s="478">
        <f>SUM(G29:G35)</f>
        <v>182192563</v>
      </c>
      <c r="H36" s="478">
        <f>SUM(H29:H35)</f>
        <v>-9000000</v>
      </c>
      <c r="I36" s="478">
        <f>SUM(I29:I35)</f>
        <v>173192563</v>
      </c>
      <c r="J36" s="478">
        <f>SUM(J29:J35)</f>
        <v>172781957.5</v>
      </c>
      <c r="K36" s="439">
        <f t="shared" si="3"/>
        <v>99.76291966993986</v>
      </c>
      <c r="L36" s="478">
        <f>SUM(L29:L35)</f>
        <v>9000000</v>
      </c>
      <c r="M36" s="478">
        <f>SUM(M29:M35)</f>
        <v>164192563</v>
      </c>
      <c r="N36" s="440"/>
      <c r="P36" s="441"/>
    </row>
    <row r="37" spans="1:16" s="3" customFormat="1" ht="13.5" customHeight="1" thickBot="1">
      <c r="A37" s="479"/>
      <c r="B37" s="479"/>
      <c r="C37" s="479"/>
      <c r="D37" s="442"/>
      <c r="F37" s="480"/>
      <c r="G37" s="480"/>
      <c r="H37" s="480"/>
      <c r="I37" s="480"/>
      <c r="J37" s="481"/>
      <c r="K37" s="480"/>
      <c r="L37" s="480"/>
      <c r="M37" s="480"/>
      <c r="P37" s="420"/>
    </row>
    <row r="38" spans="1:16" s="419" customFormat="1" ht="12.75" customHeight="1">
      <c r="A38" s="482" t="s">
        <v>109</v>
      </c>
      <c r="B38" s="470">
        <v>3319</v>
      </c>
      <c r="C38" s="470">
        <v>5169</v>
      </c>
      <c r="D38" s="483" t="s">
        <v>1092</v>
      </c>
      <c r="E38" s="465" t="s">
        <v>110</v>
      </c>
      <c r="F38" s="450">
        <v>252000</v>
      </c>
      <c r="G38" s="450">
        <v>252000</v>
      </c>
      <c r="H38" s="484"/>
      <c r="I38" s="450">
        <v>252000</v>
      </c>
      <c r="J38" s="450">
        <v>252000</v>
      </c>
      <c r="K38" s="451">
        <f>J38/G38*100</f>
        <v>100</v>
      </c>
      <c r="L38" s="452"/>
      <c r="M38" s="472">
        <f>I38-L38</f>
        <v>252000</v>
      </c>
      <c r="N38" s="453" t="s">
        <v>111</v>
      </c>
      <c r="P38" s="420"/>
    </row>
    <row r="39" spans="1:16" s="419" customFormat="1" ht="12.75" customHeight="1">
      <c r="A39" s="485" t="s">
        <v>109</v>
      </c>
      <c r="B39" s="473">
        <v>3326</v>
      </c>
      <c r="C39" s="473">
        <v>5169</v>
      </c>
      <c r="D39" s="427" t="s">
        <v>1092</v>
      </c>
      <c r="E39" s="486" t="s">
        <v>112</v>
      </c>
      <c r="F39" s="424">
        <v>314000</v>
      </c>
      <c r="G39" s="424">
        <v>314000</v>
      </c>
      <c r="H39" s="487"/>
      <c r="I39" s="424">
        <v>314000</v>
      </c>
      <c r="J39" s="424">
        <v>304164.9</v>
      </c>
      <c r="K39" s="417">
        <f>J39/G39*100</f>
        <v>96.86780254777071</v>
      </c>
      <c r="L39" s="457"/>
      <c r="M39" s="417">
        <f>I39-L39</f>
        <v>314000</v>
      </c>
      <c r="N39" s="488" t="s">
        <v>113</v>
      </c>
      <c r="P39" s="420"/>
    </row>
    <row r="40" spans="1:16" s="419" customFormat="1" ht="12.75" customHeight="1">
      <c r="A40" s="485"/>
      <c r="B40" s="473"/>
      <c r="C40" s="473"/>
      <c r="D40" s="427"/>
      <c r="E40" s="489"/>
      <c r="F40" s="490"/>
      <c r="G40" s="490"/>
      <c r="H40" s="491"/>
      <c r="I40" s="490"/>
      <c r="J40" s="424"/>
      <c r="K40" s="417"/>
      <c r="L40" s="492"/>
      <c r="M40" s="417"/>
      <c r="N40" s="493" t="s">
        <v>114</v>
      </c>
      <c r="P40" s="420"/>
    </row>
    <row r="41" spans="1:16" s="494" customFormat="1" ht="12.75" customHeight="1">
      <c r="A41" s="485" t="s">
        <v>109</v>
      </c>
      <c r="B41" s="427">
        <v>3612</v>
      </c>
      <c r="C41" s="427">
        <v>5169</v>
      </c>
      <c r="D41" s="427" t="s">
        <v>115</v>
      </c>
      <c r="E41" s="428" t="s">
        <v>116</v>
      </c>
      <c r="F41" s="490">
        <v>17100000</v>
      </c>
      <c r="G41" s="490">
        <v>17100000</v>
      </c>
      <c r="H41" s="490"/>
      <c r="I41" s="490">
        <v>17100000</v>
      </c>
      <c r="J41" s="424">
        <v>17093569.5</v>
      </c>
      <c r="K41" s="417">
        <f>J41/G41*100</f>
        <v>99.96239473684211</v>
      </c>
      <c r="L41" s="425"/>
      <c r="M41" s="417">
        <f aca="true" t="shared" si="4" ref="M41:M47">I41-L41</f>
        <v>17100000</v>
      </c>
      <c r="N41" s="426" t="s">
        <v>117</v>
      </c>
      <c r="P41" s="495"/>
    </row>
    <row r="42" spans="1:16" s="419" customFormat="1" ht="12.75" customHeight="1">
      <c r="A42" s="467" t="s">
        <v>109</v>
      </c>
      <c r="B42" s="496">
        <v>6409</v>
      </c>
      <c r="C42" s="496">
        <v>5169</v>
      </c>
      <c r="D42" s="411" t="s">
        <v>1092</v>
      </c>
      <c r="E42" s="1192" t="s">
        <v>118</v>
      </c>
      <c r="F42" s="414">
        <v>585000</v>
      </c>
      <c r="G42" s="414">
        <v>585000</v>
      </c>
      <c r="H42" s="491"/>
      <c r="I42" s="414">
        <v>585000</v>
      </c>
      <c r="J42" s="424">
        <v>585000</v>
      </c>
      <c r="K42" s="417">
        <f>J42/G42*100</f>
        <v>100</v>
      </c>
      <c r="L42" s="425"/>
      <c r="M42" s="417">
        <f t="shared" si="4"/>
        <v>585000</v>
      </c>
      <c r="N42" s="497" t="s">
        <v>408</v>
      </c>
      <c r="P42" s="420"/>
    </row>
    <row r="43" spans="1:16" s="419" customFormat="1" ht="12.75" customHeight="1">
      <c r="A43" s="467"/>
      <c r="B43" s="454"/>
      <c r="C43" s="454"/>
      <c r="D43" s="455"/>
      <c r="E43" s="1191"/>
      <c r="F43" s="424"/>
      <c r="G43" s="424"/>
      <c r="H43" s="491"/>
      <c r="I43" s="424"/>
      <c r="J43" s="424"/>
      <c r="K43" s="417"/>
      <c r="L43" s="425"/>
      <c r="M43" s="417">
        <f t="shared" si="4"/>
        <v>0</v>
      </c>
      <c r="N43" s="498"/>
      <c r="P43" s="420"/>
    </row>
    <row r="44" spans="1:16" s="419" customFormat="1" ht="12.75" customHeight="1">
      <c r="A44" s="467" t="s">
        <v>109</v>
      </c>
      <c r="B44" s="454">
        <v>6409</v>
      </c>
      <c r="C44" s="454">
        <v>5169</v>
      </c>
      <c r="D44" s="455" t="s">
        <v>1092</v>
      </c>
      <c r="E44" s="460" t="s">
        <v>119</v>
      </c>
      <c r="F44" s="499">
        <v>15000</v>
      </c>
      <c r="G44" s="499">
        <v>15000</v>
      </c>
      <c r="H44" s="500"/>
      <c r="I44" s="499">
        <v>15000</v>
      </c>
      <c r="J44" s="424">
        <v>0</v>
      </c>
      <c r="K44" s="417">
        <f>J44/G44*100</f>
        <v>0</v>
      </c>
      <c r="L44" s="457"/>
      <c r="M44" s="417">
        <f t="shared" si="4"/>
        <v>15000</v>
      </c>
      <c r="N44" s="458" t="s">
        <v>1106</v>
      </c>
      <c r="P44" s="420"/>
    </row>
    <row r="45" spans="1:16" s="419" customFormat="1" ht="12.75" customHeight="1">
      <c r="A45" s="467" t="s">
        <v>109</v>
      </c>
      <c r="B45" s="454">
        <v>6409</v>
      </c>
      <c r="C45" s="454">
        <v>5169</v>
      </c>
      <c r="D45" s="455" t="s">
        <v>1092</v>
      </c>
      <c r="E45" s="460" t="s">
        <v>120</v>
      </c>
      <c r="F45" s="499">
        <v>250000</v>
      </c>
      <c r="G45" s="499">
        <v>250000</v>
      </c>
      <c r="H45" s="500"/>
      <c r="I45" s="499">
        <v>250000</v>
      </c>
      <c r="J45" s="424">
        <v>250000.1</v>
      </c>
      <c r="K45" s="417">
        <f>J45/G45*100</f>
        <v>100.00004</v>
      </c>
      <c r="L45" s="457"/>
      <c r="M45" s="417">
        <f t="shared" si="4"/>
        <v>250000</v>
      </c>
      <c r="N45" s="458" t="s">
        <v>121</v>
      </c>
      <c r="P45" s="420"/>
    </row>
    <row r="46" spans="1:16" s="419" customFormat="1" ht="12.75" customHeight="1">
      <c r="A46" s="467" t="s">
        <v>109</v>
      </c>
      <c r="B46" s="454">
        <v>6409</v>
      </c>
      <c r="C46" s="454">
        <v>5169</v>
      </c>
      <c r="D46" s="455" t="s">
        <v>1092</v>
      </c>
      <c r="E46" s="460" t="s">
        <v>122</v>
      </c>
      <c r="F46" s="499">
        <v>114000</v>
      </c>
      <c r="G46" s="499">
        <v>114000</v>
      </c>
      <c r="H46" s="500"/>
      <c r="I46" s="499">
        <v>114000</v>
      </c>
      <c r="J46" s="424">
        <v>111200</v>
      </c>
      <c r="K46" s="417">
        <f>J46/G46*100</f>
        <v>97.54385964912281</v>
      </c>
      <c r="L46" s="457"/>
      <c r="M46" s="417">
        <f t="shared" si="4"/>
        <v>114000</v>
      </c>
      <c r="N46" s="458" t="s">
        <v>123</v>
      </c>
      <c r="P46" s="420"/>
    </row>
    <row r="47" spans="1:16" s="419" customFormat="1" ht="12.75" customHeight="1">
      <c r="A47" s="467" t="s">
        <v>109</v>
      </c>
      <c r="B47" s="454">
        <v>6409</v>
      </c>
      <c r="C47" s="454">
        <v>5169</v>
      </c>
      <c r="D47" s="455" t="s">
        <v>1092</v>
      </c>
      <c r="E47" s="460" t="s">
        <v>124</v>
      </c>
      <c r="F47" s="499">
        <v>26000</v>
      </c>
      <c r="G47" s="499">
        <v>26000</v>
      </c>
      <c r="H47" s="500"/>
      <c r="I47" s="499">
        <v>26000</v>
      </c>
      <c r="J47" s="424">
        <v>0</v>
      </c>
      <c r="K47" s="417">
        <f>J47/G47*100</f>
        <v>0</v>
      </c>
      <c r="L47" s="425"/>
      <c r="M47" s="417">
        <f t="shared" si="4"/>
        <v>26000</v>
      </c>
      <c r="N47" s="426" t="s">
        <v>125</v>
      </c>
      <c r="P47" s="420"/>
    </row>
    <row r="48" spans="1:16" s="419" customFormat="1" ht="15.75" customHeight="1" thickBot="1">
      <c r="A48" s="435" t="s">
        <v>126</v>
      </c>
      <c r="B48" s="436"/>
      <c r="C48" s="436"/>
      <c r="D48" s="436"/>
      <c r="E48" s="437"/>
      <c r="F48" s="478">
        <f>SUM(F38:F47)</f>
        <v>18656000</v>
      </c>
      <c r="G48" s="478">
        <f>SUM(G38:G47)</f>
        <v>18656000</v>
      </c>
      <c r="H48" s="478">
        <f>SUM(H38:H47)</f>
        <v>0</v>
      </c>
      <c r="I48" s="478">
        <f>SUM(I38:I47)</f>
        <v>18656000</v>
      </c>
      <c r="J48" s="478">
        <f>SUM(J38:J47)</f>
        <v>18595934.5</v>
      </c>
      <c r="K48" s="439">
        <f>J48/I48*100</f>
        <v>99.67803655660377</v>
      </c>
      <c r="L48" s="478">
        <f>SUM(L38:L47)</f>
        <v>0</v>
      </c>
      <c r="M48" s="478">
        <f>SUM(M38:M47)</f>
        <v>18656000</v>
      </c>
      <c r="N48" s="440"/>
      <c r="P48" s="420"/>
    </row>
    <row r="49" spans="1:16" s="3" customFormat="1" ht="12.75" customHeight="1" thickBot="1">
      <c r="A49" s="479"/>
      <c r="B49" s="479"/>
      <c r="C49" s="479"/>
      <c r="D49" s="442"/>
      <c r="F49" s="480"/>
      <c r="G49" s="480"/>
      <c r="H49" s="480"/>
      <c r="I49" s="480"/>
      <c r="J49" s="481"/>
      <c r="K49" s="480"/>
      <c r="L49" s="480"/>
      <c r="M49" s="480"/>
      <c r="P49" s="420"/>
    </row>
    <row r="50" spans="1:16" s="419" customFormat="1" ht="12.75" customHeight="1">
      <c r="A50" s="464" t="s">
        <v>70</v>
      </c>
      <c r="B50" s="446">
        <v>6409</v>
      </c>
      <c r="C50" s="446">
        <v>5169</v>
      </c>
      <c r="D50" s="447" t="s">
        <v>1092</v>
      </c>
      <c r="E50" s="448"/>
      <c r="F50" s="1196">
        <v>247000</v>
      </c>
      <c r="G50" s="1196">
        <v>247000</v>
      </c>
      <c r="H50" s="501"/>
      <c r="I50" s="1196">
        <v>247000</v>
      </c>
      <c r="J50" s="1196">
        <v>246540.6</v>
      </c>
      <c r="K50" s="1193">
        <f>J50/G50*100</f>
        <v>99.814008097166</v>
      </c>
      <c r="L50" s="1185"/>
      <c r="M50" s="1185">
        <f>I50-L50</f>
        <v>247000</v>
      </c>
      <c r="N50" s="502" t="s">
        <v>127</v>
      </c>
      <c r="P50" s="420"/>
    </row>
    <row r="51" spans="1:16" s="419" customFormat="1" ht="12.75" customHeight="1">
      <c r="A51" s="467"/>
      <c r="B51" s="496"/>
      <c r="C51" s="496"/>
      <c r="D51" s="411"/>
      <c r="E51" s="503"/>
      <c r="F51" s="1197"/>
      <c r="G51" s="1197"/>
      <c r="H51" s="504"/>
      <c r="I51" s="1197"/>
      <c r="J51" s="1199"/>
      <c r="K51" s="1194"/>
      <c r="L51" s="1186"/>
      <c r="M51" s="1186"/>
      <c r="N51" s="505" t="s">
        <v>128</v>
      </c>
      <c r="P51" s="420"/>
    </row>
    <row r="52" spans="1:16" s="419" customFormat="1" ht="12.75" customHeight="1">
      <c r="A52" s="467"/>
      <c r="B52" s="496"/>
      <c r="C52" s="496"/>
      <c r="D52" s="411"/>
      <c r="E52" s="506"/>
      <c r="F52" s="1197"/>
      <c r="G52" s="1197"/>
      <c r="H52" s="504"/>
      <c r="I52" s="1197"/>
      <c r="J52" s="1199"/>
      <c r="K52" s="1194"/>
      <c r="L52" s="1186"/>
      <c r="M52" s="1186"/>
      <c r="N52" s="507" t="s">
        <v>129</v>
      </c>
      <c r="P52" s="420"/>
    </row>
    <row r="53" spans="1:16" s="419" customFormat="1" ht="12.75" customHeight="1">
      <c r="A53" s="485"/>
      <c r="B53" s="473"/>
      <c r="C53" s="473"/>
      <c r="D53" s="427"/>
      <c r="E53" s="506"/>
      <c r="F53" s="1197"/>
      <c r="G53" s="1197"/>
      <c r="H53" s="504"/>
      <c r="I53" s="1197"/>
      <c r="J53" s="1199"/>
      <c r="K53" s="1194"/>
      <c r="L53" s="1186"/>
      <c r="M53" s="1186"/>
      <c r="N53" s="507" t="s">
        <v>130</v>
      </c>
      <c r="P53" s="420"/>
    </row>
    <row r="54" spans="1:16" s="419" customFormat="1" ht="12.75" customHeight="1">
      <c r="A54" s="508"/>
      <c r="B54" s="454"/>
      <c r="C54" s="454"/>
      <c r="D54" s="455"/>
      <c r="E54" s="506"/>
      <c r="F54" s="1197"/>
      <c r="G54" s="1197"/>
      <c r="H54" s="504"/>
      <c r="I54" s="1197"/>
      <c r="J54" s="1199"/>
      <c r="K54" s="1194"/>
      <c r="L54" s="1186"/>
      <c r="M54" s="1186"/>
      <c r="N54" s="507" t="s">
        <v>131</v>
      </c>
      <c r="P54" s="420"/>
    </row>
    <row r="55" spans="1:16" s="419" customFormat="1" ht="12.75" customHeight="1">
      <c r="A55" s="508"/>
      <c r="B55" s="454"/>
      <c r="C55" s="454"/>
      <c r="D55" s="468"/>
      <c r="E55" s="506"/>
      <c r="F55" s="1198"/>
      <c r="G55" s="1197"/>
      <c r="H55" s="504"/>
      <c r="I55" s="1197"/>
      <c r="J55" s="1199"/>
      <c r="K55" s="1194"/>
      <c r="L55" s="1186"/>
      <c r="M55" s="1186"/>
      <c r="N55" s="507" t="s">
        <v>132</v>
      </c>
      <c r="P55" s="420"/>
    </row>
    <row r="56" spans="1:16" s="419" customFormat="1" ht="12.75" customHeight="1">
      <c r="A56" s="508"/>
      <c r="B56" s="454"/>
      <c r="C56" s="454"/>
      <c r="D56" s="455"/>
      <c r="E56" s="456"/>
      <c r="F56" s="1197"/>
      <c r="G56" s="1197"/>
      <c r="H56" s="504"/>
      <c r="I56" s="1197"/>
      <c r="J56" s="1200"/>
      <c r="K56" s="1195"/>
      <c r="L56" s="1187"/>
      <c r="M56" s="1187"/>
      <c r="N56" s="493"/>
      <c r="P56" s="420"/>
    </row>
    <row r="57" spans="1:16" s="516" customFormat="1" ht="15.75" customHeight="1" thickBot="1">
      <c r="A57" s="509" t="s">
        <v>133</v>
      </c>
      <c r="B57" s="510"/>
      <c r="C57" s="510"/>
      <c r="D57" s="510"/>
      <c r="E57" s="511"/>
      <c r="F57" s="478">
        <f>SUM(F50:F56)</f>
        <v>247000</v>
      </c>
      <c r="G57" s="478">
        <f>SUM(G50:G56)</f>
        <v>247000</v>
      </c>
      <c r="H57" s="478">
        <f>SUM(H50:H56)</f>
        <v>0</v>
      </c>
      <c r="I57" s="478">
        <f>SUM(I50:I56)</f>
        <v>247000</v>
      </c>
      <c r="J57" s="512">
        <f>SUM(J50:J56)</f>
        <v>246540.6</v>
      </c>
      <c r="K57" s="513">
        <f>J57/I57*100</f>
        <v>99.814008097166</v>
      </c>
      <c r="L57" s="514">
        <f>SUM(L50:L56)</f>
        <v>0</v>
      </c>
      <c r="M57" s="512">
        <f>SUM(M50:M56)</f>
        <v>247000</v>
      </c>
      <c r="N57" s="515"/>
      <c r="P57" s="517"/>
    </row>
    <row r="58" spans="1:16" s="526" customFormat="1" ht="15.75" customHeight="1" thickBot="1">
      <c r="A58" s="518" t="s">
        <v>134</v>
      </c>
      <c r="B58" s="519"/>
      <c r="C58" s="519"/>
      <c r="D58" s="520"/>
      <c r="E58" s="521"/>
      <c r="F58" s="522">
        <f>F18+F23+F27+F36+F48+F57</f>
        <v>503031000</v>
      </c>
      <c r="G58" s="522">
        <f>G18+G23+G27+G36+G48+G57</f>
        <v>501236295</v>
      </c>
      <c r="H58" s="522">
        <f>H18+H23+H27+H36+H48+H57</f>
        <v>-8527667</v>
      </c>
      <c r="I58" s="522">
        <f>I18+I23+I27+I36+I48+I57</f>
        <v>492708628</v>
      </c>
      <c r="J58" s="522">
        <f>J18+J23+J27+J36+J48+J57</f>
        <v>491983826.09999996</v>
      </c>
      <c r="K58" s="523">
        <f>J58/I58*100</f>
        <v>99.85289441694127</v>
      </c>
      <c r="L58" s="524"/>
      <c r="M58" s="524"/>
      <c r="N58" s="525"/>
      <c r="P58" s="527"/>
    </row>
    <row r="59" spans="1:16" s="526" customFormat="1" ht="13.5" customHeight="1" thickBot="1">
      <c r="A59" s="528"/>
      <c r="B59" s="528"/>
      <c r="C59" s="528"/>
      <c r="D59" s="529"/>
      <c r="E59" s="528"/>
      <c r="F59" s="530"/>
      <c r="G59" s="530"/>
      <c r="H59" s="530"/>
      <c r="I59" s="530"/>
      <c r="J59" s="531"/>
      <c r="K59" s="530"/>
      <c r="L59" s="530"/>
      <c r="M59" s="530"/>
      <c r="N59" s="528"/>
      <c r="P59" s="517"/>
    </row>
    <row r="60" spans="1:16" s="526" customFormat="1" ht="16.5" customHeight="1">
      <c r="A60" s="532" t="s">
        <v>135</v>
      </c>
      <c r="B60" s="533"/>
      <c r="C60" s="533"/>
      <c r="D60" s="533"/>
      <c r="E60" s="533"/>
      <c r="F60" s="534">
        <f>F2+F3+F4+F5+F6+F7+F8+F16+F17+F20+F22+F25+F26+F31+F32+F33+F34+F35++F38+F39+F42+F44+F45+F46+F47+F50</f>
        <v>264068000</v>
      </c>
      <c r="G60" s="534">
        <f>G2+G3+G4+G5+G6+G7+G8+G16+G17+G20+G22+G25+G26+G31+G32+G33+G34+G35++G38+G39+G42+G44+G45+G46+G47+G50</f>
        <v>257609000</v>
      </c>
      <c r="H60" s="534">
        <f>H2+H3+H4+H5+H6+H7+H8+H16+H17+H20+H22+H25+H26+H31+H32+H33+H34+H35++H38+H39+H42+H44+H45+H46+H47+H50</f>
        <v>-9000000</v>
      </c>
      <c r="I60" s="534">
        <f>I2+I3+I4+I5+I6+I7+I8+I16+I17+I20+I22+I25+I26+I31+I32+I33+I34+I35++I38+I39+I42+I44+I45+I46+I47+I50</f>
        <v>248609000</v>
      </c>
      <c r="J60" s="534">
        <f>J2+J3+J4+J5+J6+J7+J8+J16+J17+J20+J22+J25+J26+J31+J32+J33+J34+J35++J38+J39+J42+J44+J45+J46+J47+J50</f>
        <v>247911845.6</v>
      </c>
      <c r="K60" s="535">
        <f aca="true" t="shared" si="5" ref="K60:K67">J60/I60*100</f>
        <v>99.71957797183529</v>
      </c>
      <c r="L60" s="534">
        <f>L2+L3+L4+L5+L6+L7+L8+L16+L17+L20+L22+L25+L26+L31+L32+L33+L34+L35++L38+L39+L42+L44+L45+L46+L47+L50</f>
        <v>10000000</v>
      </c>
      <c r="M60" s="534">
        <f>M2+M3+M4+M5+M6+M7+M8+M16+M17+M20+M22+M25+M26+M31+M32+M33+M34+M35++M38+M39+M42+M44+M45+M46+M47+M50</f>
        <v>238609000</v>
      </c>
      <c r="N60" s="536"/>
      <c r="P60" s="517"/>
    </row>
    <row r="61" spans="1:16" s="526" customFormat="1" ht="16.5" customHeight="1">
      <c r="A61" s="537" t="s">
        <v>136</v>
      </c>
      <c r="B61" s="538"/>
      <c r="C61" s="538"/>
      <c r="D61" s="538"/>
      <c r="E61" s="538"/>
      <c r="F61" s="539">
        <f>F62+F63+F64</f>
        <v>194604000</v>
      </c>
      <c r="G61" s="539">
        <f>G62+G63+G64</f>
        <v>194268732</v>
      </c>
      <c r="H61" s="539">
        <f>H62+H63+H64</f>
        <v>472333</v>
      </c>
      <c r="I61" s="539">
        <f>I62+I63+I64</f>
        <v>194741065</v>
      </c>
      <c r="J61" s="539">
        <f>J62+J63+J64</f>
        <v>194719964</v>
      </c>
      <c r="K61" s="540">
        <f t="shared" si="5"/>
        <v>99.98916458631875</v>
      </c>
      <c r="L61" s="539">
        <f>L62+L63+L64</f>
        <v>0</v>
      </c>
      <c r="M61" s="539">
        <f>M62+M63+M64</f>
        <v>194741065</v>
      </c>
      <c r="N61" s="541"/>
      <c r="P61" s="517"/>
    </row>
    <row r="62" spans="1:16" s="526" customFormat="1" ht="16.5" customHeight="1">
      <c r="A62" s="542" t="s">
        <v>365</v>
      </c>
      <c r="B62" s="543"/>
      <c r="C62" s="543"/>
      <c r="D62" s="543"/>
      <c r="E62" s="543"/>
      <c r="F62" s="544">
        <f aca="true" t="shared" si="6" ref="F62:J63">F9</f>
        <v>180000000</v>
      </c>
      <c r="G62" s="544">
        <f t="shared" si="6"/>
        <v>180000000</v>
      </c>
      <c r="H62" s="544">
        <f t="shared" si="6"/>
        <v>0</v>
      </c>
      <c r="I62" s="544">
        <f t="shared" si="6"/>
        <v>180000000</v>
      </c>
      <c r="J62" s="544">
        <f t="shared" si="6"/>
        <v>180000000</v>
      </c>
      <c r="K62" s="545">
        <f t="shared" si="5"/>
        <v>100</v>
      </c>
      <c r="L62" s="544">
        <f>L9</f>
        <v>0</v>
      </c>
      <c r="M62" s="544">
        <f>M9</f>
        <v>180000000</v>
      </c>
      <c r="N62" s="546"/>
      <c r="P62" s="517"/>
    </row>
    <row r="63" spans="1:16" s="526" customFormat="1" ht="16.5" customHeight="1">
      <c r="A63" s="547" t="s">
        <v>366</v>
      </c>
      <c r="B63" s="543"/>
      <c r="C63" s="543"/>
      <c r="D63" s="543"/>
      <c r="E63" s="543"/>
      <c r="F63" s="544">
        <f t="shared" si="6"/>
        <v>11905000</v>
      </c>
      <c r="G63" s="544">
        <f t="shared" si="6"/>
        <v>11738000</v>
      </c>
      <c r="H63" s="544">
        <f t="shared" si="6"/>
        <v>-817752</v>
      </c>
      <c r="I63" s="544">
        <f t="shared" si="6"/>
        <v>10920248</v>
      </c>
      <c r="J63" s="544">
        <f t="shared" si="6"/>
        <v>10899147</v>
      </c>
      <c r="K63" s="545">
        <f t="shared" si="5"/>
        <v>99.80677178760043</v>
      </c>
      <c r="L63" s="544">
        <f>L10</f>
        <v>0</v>
      </c>
      <c r="M63" s="544">
        <f>M10</f>
        <v>10920248</v>
      </c>
      <c r="N63" s="546"/>
      <c r="P63" s="517"/>
    </row>
    <row r="64" spans="1:16" s="526" customFormat="1" ht="16.5" customHeight="1">
      <c r="A64" s="542" t="s">
        <v>367</v>
      </c>
      <c r="B64" s="543"/>
      <c r="C64" s="543"/>
      <c r="D64" s="543"/>
      <c r="E64" s="543"/>
      <c r="F64" s="544">
        <f>F13+F14+F15</f>
        <v>2699000</v>
      </c>
      <c r="G64" s="544">
        <f>G13+G14+G15</f>
        <v>2530732</v>
      </c>
      <c r="H64" s="544">
        <f>H13+H14+H15</f>
        <v>1290085</v>
      </c>
      <c r="I64" s="544">
        <f>I13+I14+I15</f>
        <v>3820817</v>
      </c>
      <c r="J64" s="544">
        <f>J13+J14+J15</f>
        <v>3820817</v>
      </c>
      <c r="K64" s="545">
        <f t="shared" si="5"/>
        <v>100</v>
      </c>
      <c r="L64" s="544">
        <f>L13+L14+L15</f>
        <v>0</v>
      </c>
      <c r="M64" s="544">
        <f>M13+M14+M15</f>
        <v>3820817</v>
      </c>
      <c r="N64" s="546"/>
      <c r="P64" s="517"/>
    </row>
    <row r="65" spans="1:16" s="526" customFormat="1" ht="16.5" customHeight="1">
      <c r="A65" s="548" t="s">
        <v>368</v>
      </c>
      <c r="B65" s="549"/>
      <c r="C65" s="549"/>
      <c r="D65" s="549"/>
      <c r="E65" s="549"/>
      <c r="F65" s="550">
        <f>F29</f>
        <v>27259000</v>
      </c>
      <c r="G65" s="550">
        <f>G29</f>
        <v>32258563</v>
      </c>
      <c r="H65" s="550">
        <f>H29</f>
        <v>0</v>
      </c>
      <c r="I65" s="550">
        <f>I29</f>
        <v>32258563</v>
      </c>
      <c r="J65" s="550">
        <f>J29</f>
        <v>32258447</v>
      </c>
      <c r="K65" s="540">
        <f t="shared" si="5"/>
        <v>99.99964040555682</v>
      </c>
      <c r="L65" s="550">
        <f>L29</f>
        <v>0</v>
      </c>
      <c r="M65" s="550">
        <f>M29</f>
        <v>32258563</v>
      </c>
      <c r="N65" s="546"/>
      <c r="P65" s="517"/>
    </row>
    <row r="66" spans="1:16" s="526" customFormat="1" ht="16.5" customHeight="1" thickBot="1">
      <c r="A66" s="551" t="s">
        <v>369</v>
      </c>
      <c r="B66" s="552"/>
      <c r="C66" s="552"/>
      <c r="D66" s="552"/>
      <c r="E66" s="552"/>
      <c r="F66" s="553">
        <f>F41</f>
        <v>17100000</v>
      </c>
      <c r="G66" s="553">
        <f>G41</f>
        <v>17100000</v>
      </c>
      <c r="H66" s="553">
        <f>H41</f>
        <v>0</v>
      </c>
      <c r="I66" s="553">
        <f>I41</f>
        <v>17100000</v>
      </c>
      <c r="J66" s="553">
        <f>J41</f>
        <v>17093569.5</v>
      </c>
      <c r="K66" s="554">
        <f t="shared" si="5"/>
        <v>99.96239473684211</v>
      </c>
      <c r="L66" s="553">
        <f>L41</f>
        <v>0</v>
      </c>
      <c r="M66" s="553">
        <f>M41</f>
        <v>17100000</v>
      </c>
      <c r="N66" s="555"/>
      <c r="P66" s="517"/>
    </row>
    <row r="67" spans="1:16" s="562" customFormat="1" ht="18" customHeight="1" thickBot="1">
      <c r="A67" s="556" t="s">
        <v>370</v>
      </c>
      <c r="B67" s="557"/>
      <c r="C67" s="557"/>
      <c r="D67" s="557"/>
      <c r="E67" s="558"/>
      <c r="F67" s="559">
        <f>F60+F61+F65+F66</f>
        <v>503031000</v>
      </c>
      <c r="G67" s="559">
        <f>G60+G61+G65+G66</f>
        <v>501236295</v>
      </c>
      <c r="H67" s="559">
        <f>H60+H61+H65+H66</f>
        <v>-8527667</v>
      </c>
      <c r="I67" s="559">
        <f>I60+I61+I65+I66</f>
        <v>492708628</v>
      </c>
      <c r="J67" s="559">
        <f>J60+J61+J65+J66</f>
        <v>491983826.1</v>
      </c>
      <c r="K67" s="560">
        <f t="shared" si="5"/>
        <v>99.85289441694128</v>
      </c>
      <c r="L67" s="559">
        <f>L60+L61+L65+L66</f>
        <v>10000000</v>
      </c>
      <c r="M67" s="559">
        <f>M60+M61+M65+M66</f>
        <v>482708628</v>
      </c>
      <c r="N67" s="561"/>
      <c r="P67" s="517"/>
    </row>
    <row r="68" spans="1:13" ht="24.75" customHeight="1">
      <c r="A68" s="419"/>
      <c r="B68" s="419"/>
      <c r="C68" s="419"/>
      <c r="D68" s="419"/>
      <c r="E68" s="563"/>
      <c r="F68" s="564"/>
      <c r="G68" s="564"/>
      <c r="H68" s="564"/>
      <c r="I68" s="564"/>
      <c r="J68" s="564"/>
      <c r="K68" s="564"/>
      <c r="L68" s="564"/>
      <c r="M68" s="564"/>
    </row>
    <row r="69" spans="1:14" ht="24.75" customHeight="1">
      <c r="A69" s="419"/>
      <c r="B69" s="419"/>
      <c r="C69" s="419"/>
      <c r="D69" s="567"/>
      <c r="E69" s="567"/>
      <c r="F69" s="568"/>
      <c r="G69" s="568">
        <f>G58-G67</f>
        <v>0</v>
      </c>
      <c r="H69" s="568"/>
      <c r="I69" s="568"/>
      <c r="J69" s="568"/>
      <c r="K69" s="568"/>
      <c r="L69" s="568"/>
      <c r="M69" s="568"/>
      <c r="N69" s="569"/>
    </row>
    <row r="70" spans="1:14" ht="16.5" customHeight="1">
      <c r="A70" s="419"/>
      <c r="B70" s="419"/>
      <c r="C70" s="419"/>
      <c r="D70" s="567"/>
      <c r="E70" s="567"/>
      <c r="F70" s="570"/>
      <c r="G70" s="570"/>
      <c r="H70" s="570"/>
      <c r="I70" s="570"/>
      <c r="J70" s="571"/>
      <c r="K70" s="571"/>
      <c r="L70" s="571"/>
      <c r="M70" s="571"/>
      <c r="N70" s="569"/>
    </row>
    <row r="71" spans="1:13" ht="16.5" customHeight="1">
      <c r="A71" s="419"/>
      <c r="B71" s="419"/>
      <c r="C71" s="419"/>
      <c r="D71" s="567"/>
      <c r="E71" s="567"/>
      <c r="F71" s="572"/>
      <c r="G71" s="572"/>
      <c r="H71" s="572"/>
      <c r="I71" s="572"/>
      <c r="J71" s="420"/>
      <c r="K71" s="420"/>
      <c r="L71" s="420"/>
      <c r="M71" s="420"/>
    </row>
    <row r="72" spans="1:13" ht="16.5" customHeight="1">
      <c r="A72" s="419"/>
      <c r="B72" s="419"/>
      <c r="C72" s="419"/>
      <c r="D72" s="567"/>
      <c r="E72" s="567"/>
      <c r="F72" s="572"/>
      <c r="G72" s="572"/>
      <c r="H72" s="572"/>
      <c r="I72" s="572"/>
      <c r="J72" s="420"/>
      <c r="K72" s="420"/>
      <c r="L72" s="420"/>
      <c r="M72" s="420"/>
    </row>
    <row r="73" spans="1:13" ht="16.5" customHeight="1">
      <c r="A73" s="419"/>
      <c r="B73" s="419"/>
      <c r="C73" s="419"/>
      <c r="D73" s="567"/>
      <c r="E73" s="567"/>
      <c r="F73" s="572"/>
      <c r="G73" s="572"/>
      <c r="H73" s="572"/>
      <c r="I73" s="572"/>
      <c r="J73" s="420"/>
      <c r="K73" s="420"/>
      <c r="L73" s="420"/>
      <c r="M73" s="420"/>
    </row>
    <row r="74" spans="1:13" ht="16.5" customHeight="1">
      <c r="A74" s="419"/>
      <c r="B74" s="419"/>
      <c r="C74" s="419"/>
      <c r="D74" s="567"/>
      <c r="E74" s="567"/>
      <c r="F74" s="573"/>
      <c r="G74" s="573"/>
      <c r="H74" s="573"/>
      <c r="I74" s="573"/>
      <c r="J74" s="574"/>
      <c r="K74" s="574"/>
      <c r="L74" s="574"/>
      <c r="M74" s="574"/>
    </row>
    <row r="75" spans="1:13" ht="16.5" customHeight="1">
      <c r="A75" s="419"/>
      <c r="B75" s="419"/>
      <c r="C75" s="419"/>
      <c r="D75" s="567"/>
      <c r="E75" s="567"/>
      <c r="F75" s="572"/>
      <c r="G75" s="572"/>
      <c r="H75" s="572"/>
      <c r="I75" s="572"/>
      <c r="J75" s="420"/>
      <c r="K75" s="420"/>
      <c r="L75" s="420"/>
      <c r="M75" s="420"/>
    </row>
    <row r="76" spans="1:13" ht="16.5" customHeight="1">
      <c r="A76" s="419"/>
      <c r="B76" s="419"/>
      <c r="C76" s="419"/>
      <c r="D76" s="567"/>
      <c r="E76" s="567"/>
      <c r="F76" s="572"/>
      <c r="G76" s="572"/>
      <c r="H76" s="572"/>
      <c r="I76" s="572"/>
      <c r="J76" s="420"/>
      <c r="K76" s="420"/>
      <c r="L76" s="420"/>
      <c r="M76" s="420"/>
    </row>
    <row r="77" spans="1:13" ht="16.5" customHeight="1">
      <c r="A77" s="419"/>
      <c r="B77" s="419"/>
      <c r="C77" s="419"/>
      <c r="D77" s="419"/>
      <c r="F77" s="572"/>
      <c r="G77" s="572"/>
      <c r="H77" s="572"/>
      <c r="I77" s="572"/>
      <c r="J77" s="420"/>
      <c r="K77" s="420"/>
      <c r="L77" s="420"/>
      <c r="M77" s="420"/>
    </row>
    <row r="78" spans="1:13" ht="16.5" customHeight="1">
      <c r="A78" s="419"/>
      <c r="B78" s="419"/>
      <c r="C78" s="419"/>
      <c r="D78" s="419"/>
      <c r="F78" s="572"/>
      <c r="G78" s="572"/>
      <c r="H78" s="572"/>
      <c r="I78" s="572"/>
      <c r="J78" s="420"/>
      <c r="K78" s="420"/>
      <c r="L78" s="420"/>
      <c r="M78" s="420"/>
    </row>
    <row r="79" spans="1:13" ht="16.5" customHeight="1">
      <c r="A79" s="419"/>
      <c r="B79" s="419"/>
      <c r="C79" s="419"/>
      <c r="D79" s="419"/>
      <c r="F79" s="572"/>
      <c r="G79" s="572"/>
      <c r="H79" s="572"/>
      <c r="I79" s="572"/>
      <c r="J79" s="420"/>
      <c r="K79" s="420"/>
      <c r="L79" s="420"/>
      <c r="M79" s="420"/>
    </row>
    <row r="80" spans="1:13" ht="16.5" customHeight="1">
      <c r="A80" s="419"/>
      <c r="B80" s="419"/>
      <c r="C80" s="419"/>
      <c r="D80" s="419"/>
      <c r="F80" s="572"/>
      <c r="G80" s="572"/>
      <c r="H80" s="572"/>
      <c r="I80" s="572"/>
      <c r="J80" s="420"/>
      <c r="K80" s="420"/>
      <c r="L80" s="420"/>
      <c r="M80" s="420"/>
    </row>
    <row r="81" spans="1:13" ht="16.5" customHeight="1">
      <c r="A81" s="419"/>
      <c r="B81" s="419"/>
      <c r="C81" s="419"/>
      <c r="D81" s="419"/>
      <c r="F81" s="572"/>
      <c r="G81" s="572"/>
      <c r="H81" s="572"/>
      <c r="I81" s="572"/>
      <c r="J81" s="420"/>
      <c r="K81" s="420"/>
      <c r="L81" s="420"/>
      <c r="M81" s="420"/>
    </row>
    <row r="82" spans="1:13" ht="16.5" customHeight="1">
      <c r="A82" s="419"/>
      <c r="B82" s="419"/>
      <c r="C82" s="419"/>
      <c r="D82" s="419"/>
      <c r="F82" s="572"/>
      <c r="G82" s="572"/>
      <c r="H82" s="572"/>
      <c r="I82" s="572"/>
      <c r="J82" s="420"/>
      <c r="K82" s="420"/>
      <c r="L82" s="420"/>
      <c r="M82" s="420"/>
    </row>
    <row r="83" ht="16.5" customHeight="1"/>
    <row r="84" ht="16.5" customHeight="1"/>
    <row r="85" ht="16.5" customHeight="1"/>
  </sheetData>
  <mergeCells count="10">
    <mergeCell ref="M50:M56"/>
    <mergeCell ref="L50:L56"/>
    <mergeCell ref="D29:D30"/>
    <mergeCell ref="E20:E21"/>
    <mergeCell ref="E42:E43"/>
    <mergeCell ref="K50:K56"/>
    <mergeCell ref="F50:F56"/>
    <mergeCell ref="G50:G56"/>
    <mergeCell ref="I50:I56"/>
    <mergeCell ref="J50:J56"/>
  </mergeCells>
  <printOptions horizontalCentered="1"/>
  <pageMargins left="0.1968503937007874" right="0.1968503937007874" top="1.2598425196850394" bottom="0.4724409448818898" header="0.82" footer="0.1968503937007874"/>
  <pageSetup firstPageNumber="6" useFirstPageNumber="1" horizontalDpi="600" verticalDpi="600" orientation="landscape" paperSize="9" scale="80" r:id="rId1"/>
  <headerFooter alignWithMargins="0">
    <oddHeader>&amp;Lv Kč&amp;C&amp;"Arial CE,Tučné"&amp;12Sumář objednávek veřejných služeb u akciových společností v roce 2009
(individuální příslib)&amp;RPříloha č. 3</oddHeader>
    <oddFooter>&amp;C&amp;P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>
    <tabColor indexed="47"/>
  </sheetPr>
  <dimension ref="A1:K1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" sqref="K4"/>
    </sheetView>
  </sheetViews>
  <sheetFormatPr defaultColWidth="9.00390625" defaultRowHeight="12.75" outlineLevelCol="1"/>
  <cols>
    <col min="1" max="1" width="26.625" style="419" customWidth="1"/>
    <col min="2" max="2" width="13.25390625" style="419" hidden="1" customWidth="1" outlineLevel="1"/>
    <col min="3" max="3" width="12.25390625" style="420" customWidth="1" collapsed="1"/>
    <col min="4" max="5" width="12.25390625" style="420" hidden="1" customWidth="1" outlineLevel="1"/>
    <col min="6" max="6" width="12.25390625" style="420" customWidth="1" collapsed="1"/>
    <col min="7" max="7" width="12.25390625" style="420" customWidth="1"/>
    <col min="8" max="8" width="6.625" style="420" customWidth="1"/>
    <col min="9" max="9" width="7.625" style="420" hidden="1" customWidth="1" outlineLevel="1"/>
    <col min="10" max="10" width="13.75390625" style="420" hidden="1" customWidth="1" outlineLevel="1"/>
    <col min="11" max="11" width="45.00390625" style="419" customWidth="1" collapsed="1"/>
    <col min="12" max="16384" width="9.125" style="419" customWidth="1"/>
  </cols>
  <sheetData>
    <row r="1" spans="1:11" s="567" customFormat="1" ht="53.25" customHeight="1" thickBot="1">
      <c r="A1" s="709" t="s">
        <v>835</v>
      </c>
      <c r="B1" s="710" t="s">
        <v>836</v>
      </c>
      <c r="C1" s="710" t="s">
        <v>837</v>
      </c>
      <c r="D1" s="666" t="s">
        <v>838</v>
      </c>
      <c r="E1" s="710" t="s">
        <v>328</v>
      </c>
      <c r="F1" s="711" t="s">
        <v>1089</v>
      </c>
      <c r="G1" s="665" t="s">
        <v>839</v>
      </c>
      <c r="H1" s="710" t="s">
        <v>329</v>
      </c>
      <c r="I1" s="712" t="str">
        <f>'[7]03-OKR'!I1</f>
        <v>Úspora UR</v>
      </c>
      <c r="J1" s="710" t="str">
        <f>'[7]03-OKR'!J1</f>
        <v>UR mínus úspora</v>
      </c>
      <c r="K1" s="713" t="s">
        <v>454</v>
      </c>
    </row>
    <row r="2" spans="1:11" ht="40.5" customHeight="1">
      <c r="A2" s="714" t="s">
        <v>840</v>
      </c>
      <c r="B2" s="715" t="s">
        <v>841</v>
      </c>
      <c r="C2" s="475">
        <v>23165000</v>
      </c>
      <c r="D2" s="716">
        <f>C2+155000+2731355</f>
        <v>26051355</v>
      </c>
      <c r="E2" s="475"/>
      <c r="F2" s="716">
        <f aca="true" t="shared" si="0" ref="F2:F8">D2+E2</f>
        <v>26051355</v>
      </c>
      <c r="G2" s="475">
        <v>26051355</v>
      </c>
      <c r="H2" s="717">
        <f aca="true" t="shared" si="1" ref="H2:H9">G2/F2*100</f>
        <v>100</v>
      </c>
      <c r="I2" s="717"/>
      <c r="J2" s="718">
        <f aca="true" t="shared" si="2" ref="J2:J8">F2-I2</f>
        <v>26051355</v>
      </c>
      <c r="K2" s="719" t="s">
        <v>763</v>
      </c>
    </row>
    <row r="3" spans="1:11" ht="40.5" customHeight="1">
      <c r="A3" s="720" t="s">
        <v>764</v>
      </c>
      <c r="B3" s="667" t="s">
        <v>765</v>
      </c>
      <c r="C3" s="475">
        <v>90000000</v>
      </c>
      <c r="D3" s="422">
        <f>C3+2000000+2701000+2410000+1532000+911000</f>
        <v>99554000</v>
      </c>
      <c r="E3" s="475"/>
      <c r="F3" s="422">
        <f t="shared" si="0"/>
        <v>99554000</v>
      </c>
      <c r="G3" s="475">
        <v>99554000</v>
      </c>
      <c r="H3" s="721">
        <f t="shared" si="1"/>
        <v>100</v>
      </c>
      <c r="I3" s="721"/>
      <c r="J3" s="722">
        <f t="shared" si="2"/>
        <v>99554000</v>
      </c>
      <c r="K3" s="719" t="s">
        <v>766</v>
      </c>
    </row>
    <row r="4" spans="1:11" ht="40.5" customHeight="1">
      <c r="A4" s="720" t="s">
        <v>767</v>
      </c>
      <c r="B4" s="667" t="s">
        <v>768</v>
      </c>
      <c r="C4" s="475">
        <v>4200000</v>
      </c>
      <c r="D4" s="422">
        <f>C4+250000+45000</f>
        <v>4495000</v>
      </c>
      <c r="E4" s="475"/>
      <c r="F4" s="422">
        <f t="shared" si="0"/>
        <v>4495000</v>
      </c>
      <c r="G4" s="475">
        <v>4495000</v>
      </c>
      <c r="H4" s="721">
        <f t="shared" si="1"/>
        <v>100</v>
      </c>
      <c r="I4" s="721"/>
      <c r="J4" s="722">
        <f t="shared" si="2"/>
        <v>4495000</v>
      </c>
      <c r="K4" s="723" t="s">
        <v>769</v>
      </c>
    </row>
    <row r="5" spans="1:11" ht="58.5" customHeight="1">
      <c r="A5" s="720" t="s">
        <v>770</v>
      </c>
      <c r="B5" s="667" t="s">
        <v>771</v>
      </c>
      <c r="C5" s="475">
        <v>35000000</v>
      </c>
      <c r="D5" s="422">
        <f>C5+745000+1950000+489000+536000+242000</f>
        <v>38962000</v>
      </c>
      <c r="E5" s="475"/>
      <c r="F5" s="422">
        <f t="shared" si="0"/>
        <v>38962000</v>
      </c>
      <c r="G5" s="475">
        <v>38962000</v>
      </c>
      <c r="H5" s="721">
        <f t="shared" si="1"/>
        <v>100</v>
      </c>
      <c r="I5" s="721"/>
      <c r="J5" s="722">
        <f t="shared" si="2"/>
        <v>38962000</v>
      </c>
      <c r="K5" s="723" t="s">
        <v>140</v>
      </c>
    </row>
    <row r="6" spans="1:11" ht="40.5" customHeight="1">
      <c r="A6" s="720" t="s">
        <v>772</v>
      </c>
      <c r="B6" s="667" t="s">
        <v>773</v>
      </c>
      <c r="C6" s="475">
        <v>17744000</v>
      </c>
      <c r="D6" s="422">
        <f>C6+625000+50000+625000+161000+625000+627865+160000</f>
        <v>20617865</v>
      </c>
      <c r="E6" s="475"/>
      <c r="F6" s="422">
        <f t="shared" si="0"/>
        <v>20617865</v>
      </c>
      <c r="G6" s="475">
        <v>20617865</v>
      </c>
      <c r="H6" s="721">
        <f t="shared" si="1"/>
        <v>100</v>
      </c>
      <c r="I6" s="721"/>
      <c r="J6" s="722">
        <f t="shared" si="2"/>
        <v>20617865</v>
      </c>
      <c r="K6" s="723" t="s">
        <v>277</v>
      </c>
    </row>
    <row r="7" spans="1:11" ht="40.5" customHeight="1">
      <c r="A7" s="720" t="s">
        <v>979</v>
      </c>
      <c r="B7" s="667" t="s">
        <v>278</v>
      </c>
      <c r="C7" s="475">
        <v>3500000</v>
      </c>
      <c r="D7" s="422">
        <f>C7+396000+395000</f>
        <v>4291000</v>
      </c>
      <c r="E7" s="475"/>
      <c r="F7" s="422">
        <f t="shared" si="0"/>
        <v>4291000</v>
      </c>
      <c r="G7" s="475">
        <v>4291000</v>
      </c>
      <c r="H7" s="721">
        <f t="shared" si="1"/>
        <v>100</v>
      </c>
      <c r="I7" s="721"/>
      <c r="J7" s="722">
        <f t="shared" si="2"/>
        <v>4291000</v>
      </c>
      <c r="K7" s="723" t="s">
        <v>279</v>
      </c>
    </row>
    <row r="8" spans="1:11" ht="64.5" customHeight="1" thickBot="1">
      <c r="A8" s="720" t="s">
        <v>280</v>
      </c>
      <c r="B8" s="667" t="s">
        <v>281</v>
      </c>
      <c r="C8" s="475">
        <v>0</v>
      </c>
      <c r="D8" s="422">
        <f>C8+2400+54180+852132+7936+27520+88380+8370+2102202+1425755+8370+43208</f>
        <v>4620453</v>
      </c>
      <c r="E8" s="475"/>
      <c r="F8" s="422">
        <f t="shared" si="0"/>
        <v>4620453</v>
      </c>
      <c r="G8" s="475">
        <v>4620453</v>
      </c>
      <c r="H8" s="721">
        <f t="shared" si="1"/>
        <v>100</v>
      </c>
      <c r="I8" s="724"/>
      <c r="J8" s="725">
        <f t="shared" si="2"/>
        <v>4620453</v>
      </c>
      <c r="K8" s="723" t="s">
        <v>185</v>
      </c>
    </row>
    <row r="9" spans="1:11" ht="40.5" customHeight="1" thickBot="1">
      <c r="A9" s="726" t="s">
        <v>282</v>
      </c>
      <c r="B9" s="727"/>
      <c r="C9" s="728">
        <f>SUM(C2:C8)</f>
        <v>173609000</v>
      </c>
      <c r="D9" s="728">
        <f>SUM(D2:D8)</f>
        <v>198591673</v>
      </c>
      <c r="E9" s="728">
        <f>SUM(E2:E8)</f>
        <v>0</v>
      </c>
      <c r="F9" s="728">
        <f>SUM(F2:F8)</f>
        <v>198591673</v>
      </c>
      <c r="G9" s="728">
        <f>SUM(G2:G8)</f>
        <v>198591673</v>
      </c>
      <c r="H9" s="729">
        <f t="shared" si="1"/>
        <v>100</v>
      </c>
      <c r="I9" s="730">
        <f>SUM(I2:I8)</f>
        <v>0</v>
      </c>
      <c r="J9" s="730">
        <f>SUM(J2:J8)</f>
        <v>198591673</v>
      </c>
      <c r="K9" s="731"/>
    </row>
    <row r="10" spans="1:2" ht="59.25" customHeight="1">
      <c r="A10" s="2"/>
      <c r="B10" s="2"/>
    </row>
    <row r="11" ht="19.5" customHeight="1">
      <c r="D11" s="420" t="s">
        <v>460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gridLines="1" horizontalCentered="1" verticalCentered="1"/>
  <pageMargins left="0.3937007874015748" right="0.3937007874015748" top="1.34" bottom="1.1811023622047245" header="0.7874015748031497" footer="0.7874015748031497"/>
  <pageSetup horizontalDpi="600" verticalDpi="600" orientation="landscape" paperSize="9" scale="95" r:id="rId1"/>
  <headerFooter alignWithMargins="0">
    <oddHeader>&amp;Lv Kč&amp;C&amp;"Arial CE,Tučné"&amp;12 Rozpočet příspěvkových organizací v roce 2009 
provozní část - individuální příslib&amp;RPříloha č. 4</oddHeader>
    <oddFooter>&amp;C8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11" sqref="H11"/>
    </sheetView>
  </sheetViews>
  <sheetFormatPr defaultColWidth="9.00390625" defaultRowHeight="12.75"/>
  <cols>
    <col min="1" max="1" width="14.625" style="0" customWidth="1"/>
    <col min="2" max="2" width="29.125" style="0" customWidth="1"/>
    <col min="3" max="3" width="15.625" style="0" customWidth="1"/>
    <col min="4" max="5" width="16.125" style="0" customWidth="1"/>
    <col min="6" max="6" width="4.875" style="0" customWidth="1"/>
    <col min="7" max="7" width="15.00390625" style="0" customWidth="1"/>
    <col min="9" max="9" width="15.125" style="0" customWidth="1"/>
    <col min="10" max="10" width="16.00390625" style="0" customWidth="1"/>
    <col min="11" max="11" width="22.375" style="0" customWidth="1"/>
    <col min="12" max="12" width="14.00390625" style="0" customWidth="1"/>
  </cols>
  <sheetData>
    <row r="1" spans="1:12" ht="18.75" customHeight="1" thickBot="1">
      <c r="A1" s="1201" t="s">
        <v>471</v>
      </c>
      <c r="B1" s="1201"/>
      <c r="C1" s="1201"/>
      <c r="D1" s="1201"/>
      <c r="E1" s="1201"/>
      <c r="F1" s="739"/>
      <c r="G1" s="740"/>
      <c r="L1" s="741"/>
    </row>
    <row r="2" spans="1:12" ht="19.5" customHeight="1" thickBot="1">
      <c r="A2" s="742"/>
      <c r="B2" s="743"/>
      <c r="C2" s="744" t="s">
        <v>633</v>
      </c>
      <c r="D2" s="744" t="s">
        <v>634</v>
      </c>
      <c r="E2" s="745" t="s">
        <v>635</v>
      </c>
      <c r="F2" s="746"/>
      <c r="G2" s="747"/>
      <c r="L2" s="747"/>
    </row>
    <row r="3" spans="1:12" ht="19.5" customHeight="1" thickTop="1">
      <c r="A3" s="748" t="s">
        <v>636</v>
      </c>
      <c r="B3" s="749"/>
      <c r="C3" s="750">
        <v>30000000</v>
      </c>
      <c r="D3" s="750">
        <v>530000000</v>
      </c>
      <c r="E3" s="751">
        <v>529999910</v>
      </c>
      <c r="F3" s="752"/>
      <c r="G3" s="753"/>
      <c r="I3" s="754"/>
      <c r="J3" s="754"/>
      <c r="K3" s="754"/>
      <c r="L3" s="753"/>
    </row>
    <row r="4" spans="1:12" ht="19.5" customHeight="1">
      <c r="A4" s="755" t="s">
        <v>637</v>
      </c>
      <c r="B4" s="756"/>
      <c r="C4" s="756">
        <v>0</v>
      </c>
      <c r="D4" s="756">
        <v>0</v>
      </c>
      <c r="E4" s="757">
        <v>-810177.75</v>
      </c>
      <c r="F4" s="758"/>
      <c r="G4" s="753"/>
      <c r="K4" s="754"/>
      <c r="L4" s="759"/>
    </row>
    <row r="5" spans="1:12" ht="19.5" customHeight="1" thickBot="1">
      <c r="A5" s="760" t="s">
        <v>638</v>
      </c>
      <c r="B5" s="761"/>
      <c r="C5" s="762">
        <v>50000000</v>
      </c>
      <c r="D5" s="763">
        <v>154626208.83</v>
      </c>
      <c r="E5" s="764">
        <v>111567123.09</v>
      </c>
      <c r="F5" s="752"/>
      <c r="G5" s="759"/>
      <c r="I5" s="754"/>
      <c r="J5" s="754"/>
      <c r="K5" s="754"/>
      <c r="L5" s="759"/>
    </row>
    <row r="6" spans="1:12" ht="30" customHeight="1" thickBot="1" thickTop="1">
      <c r="A6" s="765" t="s">
        <v>639</v>
      </c>
      <c r="B6" s="766"/>
      <c r="C6" s="767">
        <f>C3+C4+C5</f>
        <v>80000000</v>
      </c>
      <c r="D6" s="768">
        <f>D3+D4+D5</f>
        <v>684626208.83</v>
      </c>
      <c r="E6" s="769">
        <f>E3+E4+E5</f>
        <v>640756855.34</v>
      </c>
      <c r="F6" s="770"/>
      <c r="G6" s="770"/>
      <c r="H6" s="771"/>
      <c r="I6" s="772"/>
      <c r="J6" s="772"/>
      <c r="K6" s="772"/>
      <c r="L6" s="770"/>
    </row>
    <row r="7" spans="1:7" ht="19.5" customHeight="1" thickBot="1">
      <c r="A7" s="24"/>
      <c r="B7" s="24"/>
      <c r="C7" s="24"/>
      <c r="D7" s="24"/>
      <c r="E7" s="24"/>
      <c r="F7" s="758"/>
      <c r="G7" s="740"/>
    </row>
    <row r="8" spans="1:7" ht="19.5" customHeight="1">
      <c r="A8" s="773" t="s">
        <v>640</v>
      </c>
      <c r="B8" s="774"/>
      <c r="C8" s="775" t="s">
        <v>641</v>
      </c>
      <c r="D8" s="776" t="s">
        <v>642</v>
      </c>
      <c r="E8" s="777" t="s">
        <v>643</v>
      </c>
      <c r="F8" s="778"/>
      <c r="G8" s="740"/>
    </row>
    <row r="9" spans="1:11" ht="19.5" customHeight="1">
      <c r="A9" s="779" t="s">
        <v>644</v>
      </c>
      <c r="B9" s="780"/>
      <c r="C9" s="781">
        <v>68584398.28</v>
      </c>
      <c r="D9" s="781">
        <v>5871000.07</v>
      </c>
      <c r="E9" s="782">
        <f>C9-D9</f>
        <v>62713398.21</v>
      </c>
      <c r="F9" s="675"/>
      <c r="G9" s="740"/>
      <c r="I9" s="754"/>
      <c r="J9" s="754"/>
      <c r="K9" s="754"/>
    </row>
    <row r="10" spans="1:11" ht="19.5" customHeight="1" thickBot="1">
      <c r="A10" s="783" t="s">
        <v>645</v>
      </c>
      <c r="B10" s="784"/>
      <c r="C10" s="785">
        <v>87847725.64</v>
      </c>
      <c r="D10" s="785">
        <v>38994000.76</v>
      </c>
      <c r="E10" s="786">
        <f>C10-D10</f>
        <v>48853724.88</v>
      </c>
      <c r="F10" s="675"/>
      <c r="G10" s="740"/>
      <c r="I10" s="754"/>
      <c r="J10" s="754"/>
      <c r="K10" s="754"/>
    </row>
    <row r="11" spans="1:11" ht="19.5" customHeight="1" thickBot="1">
      <c r="A11" s="787" t="s">
        <v>646</v>
      </c>
      <c r="B11" s="788"/>
      <c r="C11" s="789">
        <f>C9+C10</f>
        <v>156432123.92000002</v>
      </c>
      <c r="D11" s="789">
        <f>D9+D10</f>
        <v>44865000.83</v>
      </c>
      <c r="E11" s="790">
        <f>E9+E10</f>
        <v>111567123.09</v>
      </c>
      <c r="F11" s="778"/>
      <c r="G11" s="753"/>
      <c r="I11" s="754"/>
      <c r="J11" s="754"/>
      <c r="K11" s="754"/>
    </row>
    <row r="12" spans="1:7" ht="19.5" customHeight="1">
      <c r="A12" s="791"/>
      <c r="B12" s="791"/>
      <c r="C12" s="791"/>
      <c r="D12" s="791"/>
      <c r="E12" s="792"/>
      <c r="F12" s="793"/>
      <c r="G12" s="740"/>
    </row>
    <row r="13" spans="1:7" ht="19.5" customHeight="1" thickBot="1">
      <c r="A13" s="1201" t="s">
        <v>664</v>
      </c>
      <c r="B13" s="1201"/>
      <c r="C13" s="1201"/>
      <c r="D13" s="1201"/>
      <c r="E13" s="1201"/>
      <c r="F13" s="793"/>
      <c r="G13" s="740"/>
    </row>
    <row r="14" spans="1:7" ht="19.5" customHeight="1" thickBot="1">
      <c r="A14" s="742" t="s">
        <v>647</v>
      </c>
      <c r="B14" s="743"/>
      <c r="C14" s="744" t="s">
        <v>633</v>
      </c>
      <c r="D14" s="744" t="s">
        <v>634</v>
      </c>
      <c r="E14" s="794" t="s">
        <v>635</v>
      </c>
      <c r="F14" s="753"/>
      <c r="G14" s="740"/>
    </row>
    <row r="15" spans="1:11" ht="19.5" customHeight="1" thickTop="1">
      <c r="A15" s="795" t="s">
        <v>648</v>
      </c>
      <c r="B15" s="796"/>
      <c r="C15" s="750">
        <v>-30000000</v>
      </c>
      <c r="D15" s="750">
        <v>-30000000</v>
      </c>
      <c r="E15" s="751">
        <v>-30000000</v>
      </c>
      <c r="F15" s="753"/>
      <c r="G15" s="740"/>
      <c r="I15" s="754"/>
      <c r="J15" s="754"/>
      <c r="K15" s="754"/>
    </row>
    <row r="16" spans="1:11" ht="19.5" customHeight="1">
      <c r="A16" s="797" t="s">
        <v>649</v>
      </c>
      <c r="B16" s="798"/>
      <c r="C16" s="799">
        <v>-20000000</v>
      </c>
      <c r="D16" s="799">
        <v>-20000000</v>
      </c>
      <c r="E16" s="800">
        <v>-20000000</v>
      </c>
      <c r="F16" s="753"/>
      <c r="G16" s="753"/>
      <c r="I16" s="754"/>
      <c r="J16" s="754"/>
      <c r="K16" s="754"/>
    </row>
    <row r="17" spans="1:11" ht="19.5" customHeight="1">
      <c r="A17" s="801" t="s">
        <v>650</v>
      </c>
      <c r="B17" s="802"/>
      <c r="C17" s="750">
        <v>-1384000</v>
      </c>
      <c r="D17" s="750">
        <v>-1384000</v>
      </c>
      <c r="E17" s="751">
        <v>-1384000</v>
      </c>
      <c r="F17" s="753"/>
      <c r="G17" s="740"/>
      <c r="I17" s="754"/>
      <c r="J17" s="754"/>
      <c r="K17" s="754"/>
    </row>
    <row r="18" spans="1:11" ht="19.5" customHeight="1">
      <c r="A18" s="797" t="s">
        <v>651</v>
      </c>
      <c r="B18" s="798"/>
      <c r="C18" s="750">
        <v>-873000</v>
      </c>
      <c r="D18" s="750">
        <v>-873000</v>
      </c>
      <c r="E18" s="751">
        <v>-872900</v>
      </c>
      <c r="F18" s="753"/>
      <c r="G18" s="740"/>
      <c r="I18" s="754"/>
      <c r="J18" s="754"/>
      <c r="K18" s="754"/>
    </row>
    <row r="19" spans="1:11" ht="19.5" customHeight="1">
      <c r="A19" s="801" t="s">
        <v>652</v>
      </c>
      <c r="B19" s="802"/>
      <c r="C19" s="750">
        <v>-11765000</v>
      </c>
      <c r="D19" s="750">
        <v>-11765000</v>
      </c>
      <c r="E19" s="751">
        <v>-11765000</v>
      </c>
      <c r="F19" s="753"/>
      <c r="G19" s="803"/>
      <c r="I19" s="754"/>
      <c r="J19" s="754"/>
      <c r="K19" s="754"/>
    </row>
    <row r="20" spans="1:11" ht="19.5" customHeight="1">
      <c r="A20" s="797" t="s">
        <v>653</v>
      </c>
      <c r="B20" s="798"/>
      <c r="C20" s="804">
        <v>-25000000</v>
      </c>
      <c r="D20" s="805">
        <v>-25000000</v>
      </c>
      <c r="E20" s="806">
        <v>-25000000</v>
      </c>
      <c r="F20" s="753"/>
      <c r="G20" s="753"/>
      <c r="I20" s="754"/>
      <c r="J20" s="754"/>
      <c r="K20" s="754"/>
    </row>
    <row r="21" spans="1:11" ht="19.5" customHeight="1">
      <c r="A21" s="801" t="s">
        <v>654</v>
      </c>
      <c r="B21" s="802"/>
      <c r="C21" s="807">
        <v>-2436000</v>
      </c>
      <c r="D21" s="799">
        <v>-2436000</v>
      </c>
      <c r="E21" s="800">
        <v>-2436000</v>
      </c>
      <c r="F21" s="753"/>
      <c r="G21" s="740"/>
      <c r="I21" s="754"/>
      <c r="J21" s="754"/>
      <c r="K21" s="754"/>
    </row>
    <row r="22" spans="1:11" ht="19.5" customHeight="1" thickBot="1">
      <c r="A22" s="808" t="s">
        <v>648</v>
      </c>
      <c r="B22" s="809"/>
      <c r="C22" s="810">
        <v>-35000000</v>
      </c>
      <c r="D22" s="811">
        <v>-35000000</v>
      </c>
      <c r="E22" s="812">
        <v>-35000000</v>
      </c>
      <c r="F22" s="753"/>
      <c r="G22" s="740"/>
      <c r="I22" s="754"/>
      <c r="J22" s="754"/>
      <c r="K22" s="754"/>
    </row>
    <row r="23" spans="1:11" ht="30" customHeight="1" thickBot="1" thickTop="1">
      <c r="A23" s="813" t="s">
        <v>655</v>
      </c>
      <c r="B23" s="814"/>
      <c r="C23" s="815">
        <f>SUM(C15:C22)</f>
        <v>-126458000</v>
      </c>
      <c r="D23" s="768">
        <f>SUM(D15:D22)</f>
        <v>-126458000</v>
      </c>
      <c r="E23" s="769">
        <f>SUM(E15:E22)</f>
        <v>-126457900</v>
      </c>
      <c r="F23" s="816"/>
      <c r="G23" s="817"/>
      <c r="I23" s="754"/>
      <c r="J23" s="754"/>
      <c r="K23" s="754"/>
    </row>
    <row r="24" spans="1:11" ht="30" customHeight="1" thickBot="1">
      <c r="A24" s="818"/>
      <c r="B24" s="818"/>
      <c r="C24" s="818"/>
      <c r="D24" s="819"/>
      <c r="E24" s="820"/>
      <c r="F24" s="821"/>
      <c r="G24" s="678"/>
      <c r="I24" s="754"/>
      <c r="J24" s="754"/>
      <c r="K24" s="754"/>
    </row>
    <row r="25" spans="1:11" ht="30" customHeight="1" thickBot="1">
      <c r="A25" s="822" t="s">
        <v>656</v>
      </c>
      <c r="B25" s="823" t="s">
        <v>657</v>
      </c>
      <c r="C25" s="824">
        <f>SUM(C6+C23)</f>
        <v>-46458000</v>
      </c>
      <c r="D25" s="825">
        <f>SUM(D6+D23)</f>
        <v>558168208.83</v>
      </c>
      <c r="E25" s="826">
        <f>SUM(E6+E23)</f>
        <v>514298955.34000003</v>
      </c>
      <c r="F25" s="827"/>
      <c r="G25" s="817"/>
      <c r="I25" s="754"/>
      <c r="J25" s="754"/>
      <c r="K25" s="754"/>
    </row>
    <row r="26" spans="1:7" ht="14.25" customHeight="1">
      <c r="A26" s="828"/>
      <c r="B26" s="828"/>
      <c r="C26" s="770"/>
      <c r="D26" s="770"/>
      <c r="E26" s="770"/>
      <c r="F26" s="827"/>
      <c r="G26" s="817"/>
    </row>
    <row r="27" spans="1:11" ht="12.75" customHeight="1">
      <c r="A27" s="1202" t="s">
        <v>665</v>
      </c>
      <c r="B27" s="1202"/>
      <c r="C27" s="1202"/>
      <c r="D27" s="1202"/>
      <c r="E27" s="1202"/>
      <c r="F27" s="753"/>
      <c r="G27" s="740"/>
      <c r="I27" s="754"/>
      <c r="J27" s="754"/>
      <c r="K27" s="754"/>
    </row>
    <row r="28" spans="1:7" ht="12.75">
      <c r="A28" s="829"/>
      <c r="B28" s="829"/>
      <c r="C28" s="829"/>
      <c r="D28" s="829"/>
      <c r="E28" s="829"/>
      <c r="F28" s="753"/>
      <c r="G28" s="740"/>
    </row>
    <row r="29" spans="1:7" ht="12.75">
      <c r="A29" s="830" t="s">
        <v>658</v>
      </c>
      <c r="B29" s="740"/>
      <c r="C29" s="831"/>
      <c r="D29" s="831"/>
      <c r="E29" s="832">
        <v>630000000</v>
      </c>
      <c r="F29" s="753"/>
      <c r="G29" s="833"/>
    </row>
    <row r="30" spans="1:7" ht="12.75">
      <c r="A30" s="830" t="s">
        <v>659</v>
      </c>
      <c r="B30" s="740"/>
      <c r="C30" s="740"/>
      <c r="D30" s="740"/>
      <c r="E30" s="832">
        <v>129410000</v>
      </c>
      <c r="F30" s="753"/>
      <c r="G30" s="833"/>
    </row>
    <row r="31" spans="1:7" ht="12.75">
      <c r="A31" s="830" t="s">
        <v>660</v>
      </c>
      <c r="B31" s="740"/>
      <c r="C31" s="740"/>
      <c r="D31" s="740"/>
      <c r="E31" s="832">
        <v>1560608.5</v>
      </c>
      <c r="F31" s="753"/>
      <c r="G31" s="833"/>
    </row>
    <row r="32" spans="1:7" ht="12.75">
      <c r="A32" s="830" t="s">
        <v>661</v>
      </c>
      <c r="B32" s="740"/>
      <c r="C32" s="740"/>
      <c r="D32" s="740"/>
      <c r="E32" s="832">
        <v>0</v>
      </c>
      <c r="F32" s="753"/>
      <c r="G32" s="833"/>
    </row>
    <row r="33" spans="1:7" ht="12.75">
      <c r="A33" s="830" t="s">
        <v>662</v>
      </c>
      <c r="B33" s="740"/>
      <c r="C33" s="740"/>
      <c r="D33" s="740"/>
      <c r="E33" s="832">
        <v>8011243</v>
      </c>
      <c r="F33" s="753"/>
      <c r="G33" s="833"/>
    </row>
    <row r="34" spans="1:7" ht="13.5">
      <c r="A34" s="830" t="s">
        <v>663</v>
      </c>
      <c r="B34" s="740"/>
      <c r="C34" s="740"/>
      <c r="D34" s="740"/>
      <c r="E34" s="832">
        <v>499999910</v>
      </c>
      <c r="F34" s="834"/>
      <c r="G34" s="833"/>
    </row>
    <row r="35" spans="1:7" ht="13.5">
      <c r="A35" s="835"/>
      <c r="B35" s="835"/>
      <c r="C35" s="836"/>
      <c r="D35" s="836"/>
      <c r="E35" s="836"/>
      <c r="F35" s="834"/>
      <c r="G35" s="837"/>
    </row>
    <row r="36" ht="12.75">
      <c r="G36" s="838"/>
    </row>
  </sheetData>
  <mergeCells count="3">
    <mergeCell ref="A1:E1"/>
    <mergeCell ref="A13:E13"/>
    <mergeCell ref="A27:E27"/>
  </mergeCells>
  <printOptions/>
  <pageMargins left="0.7874015748031497" right="0.1968503937007874" top="1.7716535433070868" bottom="0.984251968503937" header="0.9055118110236221" footer="0.5118110236220472"/>
  <pageSetup horizontalDpi="600" verticalDpi="600" orientation="portrait" paperSize="9" scale="97" r:id="rId1"/>
  <headerFooter alignWithMargins="0">
    <oddHeader>&amp;C&amp;"Arial CE,Tučné"&amp;12Tř. 8 - FINANCOVÁNÍ v roce 2009
( v Kč )&amp;RPříloha č. 5</oddHead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pane ySplit="1" topLeftCell="BM2" activePane="bottomLeft" state="frozen"/>
      <selection pane="topLeft" activeCell="A1" sqref="A1"/>
      <selection pane="bottomLeft" activeCell="B35" sqref="B35"/>
    </sheetView>
  </sheetViews>
  <sheetFormatPr defaultColWidth="9.00390625" defaultRowHeight="12.75"/>
  <cols>
    <col min="1" max="1" width="18.125" style="620" customWidth="1"/>
    <col min="2" max="2" width="30.25390625" style="620" customWidth="1"/>
    <col min="3" max="3" width="12.375" style="620" customWidth="1"/>
    <col min="4" max="4" width="13.875" style="620" customWidth="1"/>
    <col min="5" max="5" width="14.25390625" style="620" customWidth="1"/>
    <col min="6" max="6" width="7.75390625" style="620" customWidth="1"/>
    <col min="7" max="7" width="43.25390625" style="620" customWidth="1"/>
    <col min="8" max="16384" width="9.125" style="617" customWidth="1"/>
  </cols>
  <sheetData>
    <row r="1" spans="1:7" s="578" customFormat="1" ht="48" customHeight="1" thickBot="1">
      <c r="A1" s="406" t="s">
        <v>68</v>
      </c>
      <c r="B1" s="406" t="s">
        <v>371</v>
      </c>
      <c r="C1" s="406" t="s">
        <v>372</v>
      </c>
      <c r="D1" s="406" t="s">
        <v>180</v>
      </c>
      <c r="E1" s="406" t="s">
        <v>1090</v>
      </c>
      <c r="F1" s="406" t="s">
        <v>976</v>
      </c>
      <c r="G1" s="577" t="s">
        <v>327</v>
      </c>
    </row>
    <row r="2" spans="1:10" s="580" customFormat="1" ht="12.75" customHeight="1">
      <c r="A2" s="579" t="s">
        <v>373</v>
      </c>
      <c r="C2" s="581"/>
      <c r="D2" s="581"/>
      <c r="E2" s="581"/>
      <c r="F2" s="581"/>
      <c r="G2" s="581"/>
      <c r="H2" s="581"/>
      <c r="I2" s="581"/>
      <c r="J2" s="456"/>
    </row>
    <row r="3" spans="1:10" s="587" customFormat="1" ht="12.75" customHeight="1">
      <c r="A3" s="582"/>
      <c r="B3" s="583" t="s">
        <v>380</v>
      </c>
      <c r="C3" s="584">
        <v>0</v>
      </c>
      <c r="D3" s="584">
        <v>27205332.14</v>
      </c>
      <c r="E3" s="584">
        <v>27205332.14</v>
      </c>
      <c r="F3" s="585">
        <f>E3/D3*100</f>
        <v>100</v>
      </c>
      <c r="G3" s="584" t="s">
        <v>374</v>
      </c>
      <c r="H3" s="585"/>
      <c r="I3" s="585"/>
      <c r="J3" s="586"/>
    </row>
    <row r="4" spans="1:10" s="587" customFormat="1" ht="12.75" customHeight="1">
      <c r="A4" s="582"/>
      <c r="B4" s="583"/>
      <c r="C4" s="584"/>
      <c r="D4" s="584"/>
      <c r="E4" s="584"/>
      <c r="F4" s="584"/>
      <c r="G4" s="584"/>
      <c r="H4" s="585"/>
      <c r="I4" s="585"/>
      <c r="J4" s="586"/>
    </row>
    <row r="5" spans="1:7" s="587" customFormat="1" ht="12.75" customHeight="1">
      <c r="A5" s="582"/>
      <c r="B5" s="588"/>
      <c r="C5" s="585"/>
      <c r="D5" s="585"/>
      <c r="E5" s="585"/>
      <c r="F5" s="585"/>
      <c r="G5" s="586"/>
    </row>
    <row r="6" spans="1:7" s="587" customFormat="1" ht="12.75" customHeight="1">
      <c r="A6" s="582" t="s">
        <v>375</v>
      </c>
      <c r="B6" s="588"/>
      <c r="C6" s="585"/>
      <c r="D6" s="585"/>
      <c r="E6" s="585"/>
      <c r="F6" s="585"/>
      <c r="G6" s="586"/>
    </row>
    <row r="7" spans="1:7" s="587" customFormat="1" ht="12.75" customHeight="1">
      <c r="A7" s="582"/>
      <c r="B7" s="589" t="s">
        <v>381</v>
      </c>
      <c r="C7" s="585">
        <v>0</v>
      </c>
      <c r="D7" s="585">
        <v>0</v>
      </c>
      <c r="E7" s="585">
        <v>3469242.57</v>
      </c>
      <c r="F7" s="585">
        <v>0</v>
      </c>
      <c r="G7" s="586"/>
    </row>
    <row r="8" spans="1:7" s="587" customFormat="1" ht="12.75" customHeight="1">
      <c r="A8" s="590"/>
      <c r="B8" s="589" t="s">
        <v>382</v>
      </c>
      <c r="C8" s="585">
        <v>22677000</v>
      </c>
      <c r="D8" s="585">
        <v>22677000</v>
      </c>
      <c r="E8" s="585">
        <v>18156047.58</v>
      </c>
      <c r="F8" s="585">
        <f>E8/D8*100</f>
        <v>80.06371027913744</v>
      </c>
      <c r="G8" s="591"/>
    </row>
    <row r="9" spans="1:7" s="595" customFormat="1" ht="12.75" customHeight="1" thickBot="1">
      <c r="A9" s="592"/>
      <c r="B9" s="592"/>
      <c r="C9" s="593"/>
      <c r="D9" s="593"/>
      <c r="E9" s="593"/>
      <c r="F9" s="593"/>
      <c r="G9" s="594"/>
    </row>
    <row r="10" spans="1:7" s="601" customFormat="1" ht="20.25" customHeight="1" thickBot="1">
      <c r="A10" s="596" t="s">
        <v>376</v>
      </c>
      <c r="B10" s="597"/>
      <c r="C10" s="598">
        <f>C8</f>
        <v>22677000</v>
      </c>
      <c r="D10" s="598">
        <f>D8+D3</f>
        <v>49882332.14</v>
      </c>
      <c r="E10" s="598">
        <f>SUM(E2:E8)</f>
        <v>48830622.29</v>
      </c>
      <c r="F10" s="599">
        <f>E10/D10*100</f>
        <v>97.89161852527612</v>
      </c>
      <c r="G10" s="600"/>
    </row>
    <row r="11" spans="1:7" s="580" customFormat="1" ht="12.75" customHeight="1">
      <c r="A11" s="579"/>
      <c r="B11" s="602"/>
      <c r="C11" s="603"/>
      <c r="D11" s="603"/>
      <c r="E11" s="603"/>
      <c r="F11" s="603"/>
      <c r="G11" s="602"/>
    </row>
    <row r="12" spans="1:7" s="587" customFormat="1" ht="12.75" customHeight="1">
      <c r="A12" s="582" t="s">
        <v>377</v>
      </c>
      <c r="B12" s="604"/>
      <c r="C12" s="605"/>
      <c r="D12" s="605"/>
      <c r="E12" s="605"/>
      <c r="F12" s="605"/>
      <c r="G12" s="604"/>
    </row>
    <row r="13" spans="1:7" s="587" customFormat="1" ht="12.75" customHeight="1">
      <c r="A13" s="589" t="s">
        <v>383</v>
      </c>
      <c r="B13" s="604"/>
      <c r="C13" s="605"/>
      <c r="D13" s="605"/>
      <c r="E13" s="605"/>
      <c r="F13" s="605"/>
      <c r="G13" s="604"/>
    </row>
    <row r="14" spans="2:7" s="587" customFormat="1" ht="12.75" customHeight="1">
      <c r="B14" s="589" t="s">
        <v>384</v>
      </c>
      <c r="C14" s="585">
        <v>1000</v>
      </c>
      <c r="D14" s="585">
        <v>1000</v>
      </c>
      <c r="E14" s="585">
        <v>78</v>
      </c>
      <c r="F14" s="585">
        <f>E14/D14*100</f>
        <v>7.8</v>
      </c>
      <c r="G14" s="586"/>
    </row>
    <row r="15" spans="2:7" s="587" customFormat="1" ht="12.75" customHeight="1">
      <c r="B15" s="589"/>
      <c r="C15" s="585"/>
      <c r="D15" s="585"/>
      <c r="E15" s="585"/>
      <c r="F15" s="585"/>
      <c r="G15" s="586"/>
    </row>
    <row r="16" spans="1:7" s="587" customFormat="1" ht="12.75" customHeight="1">
      <c r="A16" s="606"/>
      <c r="B16" s="589"/>
      <c r="C16" s="585"/>
      <c r="D16" s="585"/>
      <c r="E16" s="585"/>
      <c r="F16" s="585"/>
      <c r="G16" s="586"/>
    </row>
    <row r="17" spans="1:7" s="587" customFormat="1" ht="12.75" customHeight="1">
      <c r="A17" s="607" t="s">
        <v>385</v>
      </c>
      <c r="B17" s="589"/>
      <c r="C17" s="585"/>
      <c r="D17" s="585"/>
      <c r="E17" s="585"/>
      <c r="F17" s="585"/>
      <c r="G17" s="586"/>
    </row>
    <row r="18" spans="1:7" s="587" customFormat="1" ht="12.75" customHeight="1">
      <c r="A18" s="590"/>
      <c r="B18" s="589" t="s">
        <v>9</v>
      </c>
      <c r="C18" s="585">
        <v>400000</v>
      </c>
      <c r="D18" s="585">
        <v>400000</v>
      </c>
      <c r="E18" s="585">
        <v>289808</v>
      </c>
      <c r="F18" s="585">
        <f>E18/D18*100</f>
        <v>72.452</v>
      </c>
      <c r="G18" s="608"/>
    </row>
    <row r="19" spans="1:7" s="587" customFormat="1" ht="12.75" customHeight="1">
      <c r="A19" s="590"/>
      <c r="B19" s="589" t="s">
        <v>10</v>
      </c>
      <c r="C19" s="585">
        <v>10000000</v>
      </c>
      <c r="D19" s="585">
        <v>37205332.14</v>
      </c>
      <c r="E19" s="585">
        <v>12433000</v>
      </c>
      <c r="F19" s="585">
        <f>E19/D19*100</f>
        <v>33.41725307871422</v>
      </c>
      <c r="G19" s="591"/>
    </row>
    <row r="20" spans="1:7" s="587" customFormat="1" ht="12.75" customHeight="1">
      <c r="A20" s="590"/>
      <c r="B20" s="589" t="s">
        <v>11</v>
      </c>
      <c r="C20" s="585">
        <v>12276000</v>
      </c>
      <c r="D20" s="585">
        <v>12276000</v>
      </c>
      <c r="E20" s="585">
        <v>1580000</v>
      </c>
      <c r="F20" s="585">
        <f>E20/D20*100</f>
        <v>12.870641902899967</v>
      </c>
      <c r="G20" s="609"/>
    </row>
    <row r="21" spans="1:7" s="595" customFormat="1" ht="12.75" customHeight="1" thickBot="1">
      <c r="A21" s="592"/>
      <c r="B21" s="610"/>
      <c r="C21" s="593"/>
      <c r="D21" s="593"/>
      <c r="E21" s="593"/>
      <c r="F21" s="593"/>
      <c r="G21" s="611"/>
    </row>
    <row r="22" spans="1:7" s="601" customFormat="1" ht="20.25" customHeight="1" thickBot="1">
      <c r="A22" s="596" t="s">
        <v>378</v>
      </c>
      <c r="B22" s="596"/>
      <c r="C22" s="612">
        <f>SUM(C12:C21)</f>
        <v>22677000</v>
      </c>
      <c r="D22" s="612">
        <f>SUM(D12:D21)</f>
        <v>49882332.14</v>
      </c>
      <c r="E22" s="612">
        <f>SUM(E12:E21)</f>
        <v>14302886</v>
      </c>
      <c r="F22" s="612">
        <f>E22/D22*100</f>
        <v>28.673250400276896</v>
      </c>
      <c r="G22" s="613" t="s">
        <v>379</v>
      </c>
    </row>
    <row r="23" spans="1:7" ht="12.75" customHeight="1">
      <c r="A23" s="614"/>
      <c r="B23" s="615"/>
      <c r="C23" s="8"/>
      <c r="D23" s="8"/>
      <c r="E23" s="8"/>
      <c r="F23" s="8"/>
      <c r="G23" s="616"/>
    </row>
    <row r="24" spans="1:7" ht="12.75" customHeight="1">
      <c r="A24" s="614"/>
      <c r="B24" s="615"/>
      <c r="C24" s="8"/>
      <c r="D24" s="8"/>
      <c r="E24" s="8"/>
      <c r="F24" s="8"/>
      <c r="G24" s="616"/>
    </row>
    <row r="25" spans="1:7" ht="12.75" customHeight="1">
      <c r="A25" s="614"/>
      <c r="B25" s="615"/>
      <c r="C25" s="8"/>
      <c r="D25" s="8"/>
      <c r="E25" s="8"/>
      <c r="F25" s="8"/>
      <c r="G25" s="616"/>
    </row>
    <row r="26" spans="1:7" ht="12.75" customHeight="1">
      <c r="A26" s="614"/>
      <c r="B26" s="615"/>
      <c r="C26" s="8"/>
      <c r="D26" s="8"/>
      <c r="E26" s="8"/>
      <c r="F26" s="8"/>
      <c r="G26" s="616"/>
    </row>
    <row r="27" spans="1:7" ht="12.75" customHeight="1">
      <c r="A27" s="614"/>
      <c r="B27" s="615"/>
      <c r="C27" s="8"/>
      <c r="D27" s="8"/>
      <c r="E27" s="8"/>
      <c r="F27" s="8"/>
      <c r="G27" s="616"/>
    </row>
    <row r="28" spans="1:7" ht="12.75" customHeight="1">
      <c r="A28" s="614"/>
      <c r="B28" s="615"/>
      <c r="C28" s="8"/>
      <c r="D28" s="8"/>
      <c r="E28" s="8"/>
      <c r="F28" s="8"/>
      <c r="G28" s="616"/>
    </row>
    <row r="29" spans="1:7" ht="12.75" customHeight="1">
      <c r="A29" s="615"/>
      <c r="B29" s="615"/>
      <c r="C29" s="8"/>
      <c r="D29" s="8"/>
      <c r="E29" s="8"/>
      <c r="F29" s="8"/>
      <c r="G29" s="10"/>
    </row>
    <row r="30" spans="1:7" ht="12.75" customHeight="1">
      <c r="A30" s="615"/>
      <c r="B30" s="615"/>
      <c r="C30" s="8"/>
      <c r="D30" s="8"/>
      <c r="E30" s="6"/>
      <c r="F30" s="8"/>
      <c r="G30" s="618"/>
    </row>
    <row r="32" spans="1:7" ht="9.75" customHeight="1">
      <c r="A32" s="619"/>
      <c r="B32" s="615"/>
      <c r="C32" s="8"/>
      <c r="D32" s="8"/>
      <c r="E32" s="8"/>
      <c r="F32" s="8"/>
      <c r="G32" s="618"/>
    </row>
    <row r="33" spans="3:7" ht="12.75" customHeight="1">
      <c r="C33" s="615"/>
      <c r="D33" s="615"/>
      <c r="E33" s="615"/>
      <c r="F33" s="615"/>
      <c r="G33" s="615"/>
    </row>
    <row r="34" spans="3:7" ht="12.75">
      <c r="C34" s="615"/>
      <c r="D34" s="615"/>
      <c r="E34" s="615"/>
      <c r="F34" s="615"/>
      <c r="G34" s="615"/>
    </row>
    <row r="35" spans="3:7" ht="12.75">
      <c r="C35" s="615"/>
      <c r="D35" s="621"/>
      <c r="E35" s="622"/>
      <c r="F35" s="615"/>
      <c r="G35" s="615"/>
    </row>
    <row r="36" spans="3:7" ht="12.75">
      <c r="C36" s="615"/>
      <c r="D36" s="615"/>
      <c r="E36" s="615"/>
      <c r="F36" s="615"/>
      <c r="G36" s="615"/>
    </row>
    <row r="37" spans="3:7" ht="12.75">
      <c r="C37" s="615"/>
      <c r="D37" s="615"/>
      <c r="E37" s="615"/>
      <c r="F37" s="615"/>
      <c r="G37" s="615"/>
    </row>
    <row r="38" spans="3:7" ht="12.75">
      <c r="C38" s="615"/>
      <c r="D38" s="615"/>
      <c r="E38" s="615"/>
      <c r="F38" s="615"/>
      <c r="G38" s="615"/>
    </row>
    <row r="39" spans="3:7" ht="12.75">
      <c r="C39" s="615"/>
      <c r="D39" s="615"/>
      <c r="E39" s="615"/>
      <c r="F39" s="615"/>
      <c r="G39" s="615"/>
    </row>
    <row r="40" spans="3:7" ht="12.75">
      <c r="C40" s="615"/>
      <c r="D40" s="615"/>
      <c r="E40" s="615"/>
      <c r="F40" s="615"/>
      <c r="G40" s="615"/>
    </row>
    <row r="41" spans="2:7" ht="12.75">
      <c r="B41" s="622"/>
      <c r="C41" s="615"/>
      <c r="D41" s="615"/>
      <c r="E41" s="615"/>
      <c r="F41" s="615"/>
      <c r="G41" s="615"/>
    </row>
    <row r="42" spans="3:7" ht="12.75">
      <c r="C42" s="615"/>
      <c r="D42" s="615"/>
      <c r="E42" s="615"/>
      <c r="F42" s="615"/>
      <c r="G42" s="615"/>
    </row>
    <row r="43" ht="12.75">
      <c r="G43" s="615"/>
    </row>
    <row r="44" ht="12.75">
      <c r="G44" s="615"/>
    </row>
    <row r="45" ht="12.75">
      <c r="G45" s="615"/>
    </row>
    <row r="46" ht="12.75">
      <c r="G46" s="615"/>
    </row>
    <row r="47" ht="12.75">
      <c r="G47" s="615"/>
    </row>
    <row r="48" ht="12.75">
      <c r="G48" s="615"/>
    </row>
    <row r="49" ht="12.75">
      <c r="G49" s="615"/>
    </row>
    <row r="50" ht="12.75">
      <c r="G50" s="615"/>
    </row>
    <row r="51" ht="12.75">
      <c r="G51" s="615"/>
    </row>
    <row r="52" ht="12.75">
      <c r="G52" s="615"/>
    </row>
    <row r="53" ht="12.75">
      <c r="G53" s="615"/>
    </row>
    <row r="54" ht="12.75">
      <c r="G54" s="615"/>
    </row>
    <row r="55" ht="12.75">
      <c r="G55" s="615"/>
    </row>
    <row r="56" ht="12.75">
      <c r="G56" s="615"/>
    </row>
    <row r="57" ht="12.75">
      <c r="G57" s="615"/>
    </row>
    <row r="58" ht="12.75">
      <c r="G58" s="615"/>
    </row>
    <row r="59" ht="12.75">
      <c r="G59" s="615"/>
    </row>
    <row r="60" ht="12.75">
      <c r="G60" s="615"/>
    </row>
    <row r="61" ht="12.75">
      <c r="G61" s="615"/>
    </row>
    <row r="62" ht="12.75">
      <c r="G62" s="615"/>
    </row>
    <row r="63" ht="12.75">
      <c r="G63" s="615"/>
    </row>
    <row r="64" ht="12.75">
      <c r="G64" s="615"/>
    </row>
    <row r="65" ht="12.75">
      <c r="G65" s="615"/>
    </row>
    <row r="66" ht="12.75">
      <c r="G66" s="615"/>
    </row>
    <row r="67" ht="12.75">
      <c r="G67" s="615"/>
    </row>
    <row r="68" ht="12.75">
      <c r="G68" s="615"/>
    </row>
    <row r="69" ht="12.75">
      <c r="G69" s="615"/>
    </row>
    <row r="70" ht="12.75">
      <c r="G70" s="615"/>
    </row>
  </sheetData>
  <printOptions gridLines="1" horizontalCentered="1"/>
  <pageMargins left="0.1968503937007874" right="0.1968503937007874" top="1.3779527559055118" bottom="0.984251968503937" header="0.9055118110236221" footer="0.7086614173228347"/>
  <pageSetup firstPageNumber="7" useFirstPageNumber="1" horizontalDpi="600" verticalDpi="600" orientation="landscape" paperSize="9" r:id="rId1"/>
  <headerFooter alignWithMargins="0">
    <oddHeader>&amp;C&amp;"Arial CE,Tučné"Fond rozvoje bydlení  - klasický - rok 2009&amp;"Arial CE,Obyčejné"
&amp;RPříloha č. 6</oddHead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pane ySplit="2" topLeftCell="BM3" activePane="bottomLeft" state="frozen"/>
      <selection pane="topLeft" activeCell="A1" sqref="A1"/>
      <selection pane="bottomLeft" activeCell="D35" sqref="D35"/>
    </sheetView>
  </sheetViews>
  <sheetFormatPr defaultColWidth="9.00390625" defaultRowHeight="12.75"/>
  <cols>
    <col min="1" max="1" width="17.75390625" style="620" customWidth="1"/>
    <col min="2" max="2" width="28.375" style="620" customWidth="1"/>
    <col min="3" max="3" width="10.75390625" style="620" customWidth="1"/>
    <col min="4" max="4" width="12.625" style="620" customWidth="1"/>
    <col min="5" max="5" width="12.375" style="620" customWidth="1"/>
    <col min="6" max="6" width="8.75390625" style="620" customWidth="1"/>
    <col min="7" max="7" width="44.00390625" style="620" customWidth="1"/>
    <col min="8" max="9" width="9.125" style="617" customWidth="1" collapsed="1"/>
    <col min="10" max="16384" width="9.125" style="617" customWidth="1"/>
  </cols>
  <sheetData>
    <row r="1" ht="13.5" thickBot="1"/>
    <row r="2" spans="1:7" s="578" customFormat="1" ht="48" customHeight="1" thickBot="1">
      <c r="A2" s="406" t="s">
        <v>68</v>
      </c>
      <c r="B2" s="406" t="s">
        <v>371</v>
      </c>
      <c r="C2" s="406" t="s">
        <v>12</v>
      </c>
      <c r="D2" s="406" t="s">
        <v>180</v>
      </c>
      <c r="E2" s="406" t="s">
        <v>1090</v>
      </c>
      <c r="F2" s="406" t="s">
        <v>976</v>
      </c>
      <c r="G2" s="577" t="s">
        <v>454</v>
      </c>
    </row>
    <row r="3" spans="1:7" s="627" customFormat="1" ht="12.75" customHeight="1">
      <c r="A3" s="623"/>
      <c r="B3" s="624" t="s">
        <v>380</v>
      </c>
      <c r="C3" s="581">
        <v>0</v>
      </c>
      <c r="D3" s="625">
        <v>5747123.99</v>
      </c>
      <c r="E3" s="625">
        <v>5747123.99</v>
      </c>
      <c r="F3" s="625">
        <f>E3/D3*100</f>
        <v>100</v>
      </c>
      <c r="G3" s="626" t="s">
        <v>374</v>
      </c>
    </row>
    <row r="4" spans="1:7" s="631" customFormat="1" ht="12.75" customHeight="1">
      <c r="A4" s="628"/>
      <c r="B4" s="628"/>
      <c r="C4" s="585"/>
      <c r="D4" s="628"/>
      <c r="E4" s="628"/>
      <c r="F4" s="629"/>
      <c r="G4" s="630"/>
    </row>
    <row r="5" spans="1:7" s="587" customFormat="1" ht="12.75" customHeight="1">
      <c r="A5" s="582" t="s">
        <v>375</v>
      </c>
      <c r="B5" s="604"/>
      <c r="C5" s="585"/>
      <c r="D5" s="585"/>
      <c r="E5" s="585"/>
      <c r="F5" s="629"/>
      <c r="G5" s="591"/>
    </row>
    <row r="6" spans="1:7" s="587" customFormat="1" ht="12.75" customHeight="1">
      <c r="A6" s="582"/>
      <c r="B6" s="589" t="s">
        <v>381</v>
      </c>
      <c r="C6" s="585">
        <v>0</v>
      </c>
      <c r="D6" s="585">
        <v>0</v>
      </c>
      <c r="E6" s="585">
        <v>121119.27</v>
      </c>
      <c r="F6" s="629">
        <v>0</v>
      </c>
      <c r="G6" s="591"/>
    </row>
    <row r="7" spans="1:7" s="587" customFormat="1" ht="12.75" customHeight="1">
      <c r="A7" s="590"/>
      <c r="B7" s="589" t="s">
        <v>382</v>
      </c>
      <c r="C7" s="585">
        <v>429000</v>
      </c>
      <c r="D7" s="585">
        <v>429000</v>
      </c>
      <c r="E7" s="585">
        <v>265580.85</v>
      </c>
      <c r="F7" s="629">
        <f>E7/D7*100</f>
        <v>61.906958041958035</v>
      </c>
      <c r="G7" s="591"/>
    </row>
    <row r="8" spans="1:7" s="595" customFormat="1" ht="12.75" customHeight="1" thickBot="1">
      <c r="A8" s="592"/>
      <c r="B8" s="592"/>
      <c r="C8" s="593"/>
      <c r="D8" s="593"/>
      <c r="E8" s="593"/>
      <c r="F8" s="632"/>
      <c r="G8" s="594"/>
    </row>
    <row r="9" spans="1:7" s="601" customFormat="1" ht="20.25" customHeight="1" thickBot="1">
      <c r="A9" s="596" t="s">
        <v>13</v>
      </c>
      <c r="B9" s="597"/>
      <c r="C9" s="612">
        <f>SUM(C5:C8)</f>
        <v>429000</v>
      </c>
      <c r="D9" s="612">
        <f>SUM(D3:D8)</f>
        <v>6176123.99</v>
      </c>
      <c r="E9" s="612">
        <f>SUM(E3:E8)</f>
        <v>6133824.109999999</v>
      </c>
      <c r="F9" s="633">
        <f>E9/D9*100</f>
        <v>99.31510636657408</v>
      </c>
      <c r="G9" s="600"/>
    </row>
    <row r="10" spans="1:7" s="580" customFormat="1" ht="12.75" customHeight="1">
      <c r="A10" s="579"/>
      <c r="B10" s="602"/>
      <c r="C10" s="603"/>
      <c r="D10" s="603"/>
      <c r="E10" s="603"/>
      <c r="F10" s="625"/>
      <c r="G10" s="634"/>
    </row>
    <row r="11" spans="1:7" s="587" customFormat="1" ht="12.75" customHeight="1">
      <c r="A11" s="582" t="s">
        <v>377</v>
      </c>
      <c r="B11" s="604"/>
      <c r="C11" s="605"/>
      <c r="D11" s="605"/>
      <c r="E11" s="605"/>
      <c r="F11" s="629"/>
      <c r="G11" s="635"/>
    </row>
    <row r="12" spans="1:7" s="587" customFormat="1" ht="12.75" customHeight="1">
      <c r="A12" s="589" t="s">
        <v>14</v>
      </c>
      <c r="B12" s="604"/>
      <c r="C12" s="605"/>
      <c r="D12" s="605"/>
      <c r="E12" s="605"/>
      <c r="F12" s="629"/>
      <c r="G12" s="635"/>
    </row>
    <row r="13" spans="2:7" s="587" customFormat="1" ht="12.75" customHeight="1">
      <c r="B13" s="589" t="s">
        <v>384</v>
      </c>
      <c r="C13" s="585">
        <v>1000</v>
      </c>
      <c r="D13" s="585">
        <v>1000</v>
      </c>
      <c r="E13" s="585">
        <v>0</v>
      </c>
      <c r="F13" s="629">
        <f>E13/D13*100</f>
        <v>0</v>
      </c>
      <c r="G13" s="586"/>
    </row>
    <row r="14" spans="2:7" s="587" customFormat="1" ht="12.75" customHeight="1">
      <c r="B14" s="589"/>
      <c r="C14" s="585"/>
      <c r="D14" s="585"/>
      <c r="E14" s="585"/>
      <c r="F14" s="629"/>
      <c r="G14" s="586"/>
    </row>
    <row r="15" spans="1:7" s="587" customFormat="1" ht="12.75" customHeight="1">
      <c r="A15" s="607" t="s">
        <v>385</v>
      </c>
      <c r="B15" s="589"/>
      <c r="C15" s="585"/>
      <c r="D15" s="585"/>
      <c r="E15" s="585"/>
      <c r="F15" s="629"/>
      <c r="G15" s="586"/>
    </row>
    <row r="16" spans="1:7" s="587" customFormat="1" ht="12.75" customHeight="1">
      <c r="A16" s="590"/>
      <c r="B16" s="589" t="s">
        <v>9</v>
      </c>
      <c r="C16" s="585">
        <v>6000</v>
      </c>
      <c r="D16" s="585">
        <v>6000</v>
      </c>
      <c r="E16" s="585">
        <v>982</v>
      </c>
      <c r="F16" s="629">
        <f>E16/D16*100</f>
        <v>16.366666666666667</v>
      </c>
      <c r="G16" s="608"/>
    </row>
    <row r="17" spans="1:7" s="587" customFormat="1" ht="12.75" customHeight="1">
      <c r="A17" s="590"/>
      <c r="B17" s="589" t="s">
        <v>15</v>
      </c>
      <c r="C17" s="585">
        <v>422000</v>
      </c>
      <c r="D17" s="585">
        <f>422000+5747123.99</f>
        <v>6169123.99</v>
      </c>
      <c r="E17" s="585">
        <v>0</v>
      </c>
      <c r="F17" s="629">
        <f>E17/D17*100</f>
        <v>0</v>
      </c>
      <c r="G17" s="636"/>
    </row>
    <row r="18" spans="1:7" s="587" customFormat="1" ht="12.75" customHeight="1">
      <c r="A18" s="590"/>
      <c r="B18" s="589"/>
      <c r="C18" s="585"/>
      <c r="D18" s="585"/>
      <c r="E18" s="585"/>
      <c r="F18" s="629"/>
      <c r="G18" s="637"/>
    </row>
    <row r="19" spans="1:7" s="595" customFormat="1" ht="12.75" customHeight="1" thickBot="1">
      <c r="A19" s="592"/>
      <c r="B19" s="610"/>
      <c r="C19" s="593"/>
      <c r="D19" s="593"/>
      <c r="E19" s="593"/>
      <c r="F19" s="632"/>
      <c r="G19" s="611"/>
    </row>
    <row r="20" spans="1:7" s="601" customFormat="1" ht="21" customHeight="1" thickBot="1">
      <c r="A20" s="596" t="s">
        <v>378</v>
      </c>
      <c r="B20" s="596"/>
      <c r="C20" s="612">
        <f>SUM(C11:C19)</f>
        <v>429000</v>
      </c>
      <c r="D20" s="612">
        <f>SUM(D11:D19)</f>
        <v>6176123.99</v>
      </c>
      <c r="E20" s="612">
        <f>SUM(E11:E19)</f>
        <v>982</v>
      </c>
      <c r="F20" s="633">
        <f>E20/D20*100</f>
        <v>0.01589993985855844</v>
      </c>
      <c r="G20" s="613" t="s">
        <v>379</v>
      </c>
    </row>
    <row r="21" spans="3:7" ht="12.75">
      <c r="C21" s="621"/>
      <c r="D21" s="621"/>
      <c r="E21" s="621"/>
      <c r="F21" s="621"/>
      <c r="G21" s="615"/>
    </row>
    <row r="22" spans="3:7" ht="12.75">
      <c r="C22" s="621"/>
      <c r="D22" s="621"/>
      <c r="E22" s="621"/>
      <c r="F22" s="621"/>
      <c r="G22" s="615"/>
    </row>
    <row r="23" spans="3:7" ht="12.75">
      <c r="C23" s="615"/>
      <c r="D23" s="615"/>
      <c r="E23" s="615"/>
      <c r="F23" s="615"/>
      <c r="G23" s="615"/>
    </row>
    <row r="24" spans="3:7" ht="12.75">
      <c r="C24" s="615"/>
      <c r="D24" s="615"/>
      <c r="E24" s="621"/>
      <c r="F24" s="615"/>
      <c r="G24" s="615"/>
    </row>
    <row r="25" spans="3:7" ht="12.75">
      <c r="C25" s="615"/>
      <c r="D25" s="615"/>
      <c r="E25" s="615"/>
      <c r="F25" s="615"/>
      <c r="G25" s="615"/>
    </row>
    <row r="26" spans="3:7" ht="12.75">
      <c r="C26" s="615"/>
      <c r="D26" s="615"/>
      <c r="E26" s="615"/>
      <c r="F26" s="615"/>
      <c r="G26" s="615"/>
    </row>
    <row r="27" spans="3:7" ht="12.75">
      <c r="C27" s="615"/>
      <c r="D27" s="615"/>
      <c r="E27" s="615"/>
      <c r="F27" s="615"/>
      <c r="G27" s="615"/>
    </row>
    <row r="28" spans="3:7" ht="12.75">
      <c r="C28" s="615"/>
      <c r="D28" s="615"/>
      <c r="E28" s="615"/>
      <c r="F28" s="615"/>
      <c r="G28" s="615"/>
    </row>
    <row r="29" ht="12.75">
      <c r="G29" s="615"/>
    </row>
    <row r="30" ht="12.75">
      <c r="G30" s="615"/>
    </row>
    <row r="31" ht="12.75">
      <c r="G31" s="615"/>
    </row>
    <row r="32" ht="12.75">
      <c r="G32" s="615"/>
    </row>
    <row r="33" ht="12.75">
      <c r="G33" s="615"/>
    </row>
    <row r="34" ht="12.75">
      <c r="G34" s="615"/>
    </row>
    <row r="35" ht="12.75">
      <c r="G35" s="615"/>
    </row>
    <row r="36" ht="12.75">
      <c r="G36" s="615"/>
    </row>
    <row r="37" ht="12.75">
      <c r="G37" s="615"/>
    </row>
    <row r="38" ht="12.75">
      <c r="G38" s="615"/>
    </row>
    <row r="39" ht="12.75">
      <c r="G39" s="615"/>
    </row>
    <row r="40" ht="12.75">
      <c r="G40" s="615"/>
    </row>
    <row r="41" ht="12.75">
      <c r="G41" s="615"/>
    </row>
    <row r="42" ht="12.75">
      <c r="G42" s="615"/>
    </row>
    <row r="43" ht="12.75">
      <c r="G43" s="615"/>
    </row>
    <row r="44" ht="12.75">
      <c r="G44" s="615"/>
    </row>
    <row r="45" ht="12.75">
      <c r="G45" s="615"/>
    </row>
    <row r="46" ht="12.75">
      <c r="G46" s="615"/>
    </row>
    <row r="47" ht="12.75">
      <c r="G47" s="615"/>
    </row>
    <row r="48" ht="12.75">
      <c r="G48" s="615"/>
    </row>
    <row r="49" ht="12.75">
      <c r="G49" s="615"/>
    </row>
    <row r="50" ht="12.75">
      <c r="G50" s="615"/>
    </row>
    <row r="51" ht="12.75">
      <c r="G51" s="615"/>
    </row>
    <row r="52" ht="12.75">
      <c r="G52" s="615"/>
    </row>
    <row r="53" ht="12.75">
      <c r="G53" s="615"/>
    </row>
    <row r="54" ht="12.75">
      <c r="G54" s="615"/>
    </row>
    <row r="55" ht="12.75">
      <c r="G55" s="615"/>
    </row>
    <row r="56" ht="12.75">
      <c r="G56" s="615"/>
    </row>
  </sheetData>
  <printOptions gridLines="1" horizontalCentered="1"/>
  <pageMargins left="0.1968503937007874" right="0.1968503937007874" top="1.5748031496062993" bottom="0.984251968503937" header="0.9055118110236221" footer="0.7086614173228347"/>
  <pageSetup horizontalDpi="600" verticalDpi="600" orientation="landscape" paperSize="9" r:id="rId1"/>
  <headerFooter alignWithMargins="0">
    <oddHeader>&amp;C&amp;"Arial CE,Tučné"Fond rozvoje bydlení  - povodňový - rok 2009
&amp;RPříloha  č. 6</oddHeader>
    <oddFooter>&amp;C11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75" workbookViewId="0" topLeftCell="A1">
      <pane ySplit="1" topLeftCell="BM11" activePane="bottomLeft" state="frozen"/>
      <selection pane="topLeft" activeCell="A18" sqref="A18"/>
      <selection pane="bottomLeft" activeCell="C40" sqref="C40"/>
    </sheetView>
  </sheetViews>
  <sheetFormatPr defaultColWidth="9.00390625" defaultRowHeight="12.75"/>
  <cols>
    <col min="1" max="1" width="33.25390625" style="9" customWidth="1"/>
    <col min="2" max="2" width="31.125" style="9" customWidth="1"/>
    <col min="3" max="3" width="13.75390625" style="664" customWidth="1"/>
    <col min="4" max="4" width="14.75390625" style="664" customWidth="1"/>
    <col min="5" max="5" width="45.625" style="9" customWidth="1"/>
    <col min="6" max="6" width="7.125" style="663" customWidth="1"/>
    <col min="7" max="16384" width="9.125" style="663" customWidth="1"/>
  </cols>
  <sheetData>
    <row r="1" spans="1:6" s="428" customFormat="1" ht="48" customHeight="1" thickBot="1">
      <c r="A1" s="638" t="s">
        <v>68</v>
      </c>
      <c r="B1" s="639" t="s">
        <v>371</v>
      </c>
      <c r="C1" s="640" t="s">
        <v>16</v>
      </c>
      <c r="D1" s="639" t="s">
        <v>17</v>
      </c>
      <c r="E1" s="641" t="s">
        <v>327</v>
      </c>
      <c r="F1" s="642"/>
    </row>
    <row r="2" spans="1:5" s="3" customFormat="1" ht="12.75" customHeight="1">
      <c r="A2" s="1203" t="s">
        <v>18</v>
      </c>
      <c r="B2" s="1204"/>
      <c r="C2" s="645"/>
      <c r="D2" s="646"/>
      <c r="E2" s="647"/>
    </row>
    <row r="3" spans="1:5" s="3" customFormat="1" ht="12.75" customHeight="1">
      <c r="A3" s="643"/>
      <c r="B3" s="644" t="s">
        <v>19</v>
      </c>
      <c r="C3" s="645"/>
      <c r="D3" s="646"/>
      <c r="E3" s="647"/>
    </row>
    <row r="4" spans="1:5" s="3" customFormat="1" ht="12.75" customHeight="1">
      <c r="A4" s="444"/>
      <c r="B4" s="444" t="s">
        <v>20</v>
      </c>
      <c r="C4" s="645">
        <v>0</v>
      </c>
      <c r="D4" s="646">
        <v>5830</v>
      </c>
      <c r="E4" s="648"/>
    </row>
    <row r="5" spans="1:5" s="3" customFormat="1" ht="12.75" customHeight="1">
      <c r="A5" s="444"/>
      <c r="B5" s="444" t="s">
        <v>21</v>
      </c>
      <c r="C5" s="645">
        <v>0</v>
      </c>
      <c r="D5" s="646">
        <v>112057.33</v>
      </c>
      <c r="E5" s="648"/>
    </row>
    <row r="6" spans="1:5" s="3" customFormat="1" ht="12.75" customHeight="1">
      <c r="A6" s="444"/>
      <c r="B6" s="444" t="s">
        <v>22</v>
      </c>
      <c r="C6" s="645">
        <v>0</v>
      </c>
      <c r="D6" s="646">
        <v>4318</v>
      </c>
      <c r="E6" s="648" t="s">
        <v>23</v>
      </c>
    </row>
    <row r="7" spans="1:5" s="3" customFormat="1" ht="12.75" customHeight="1">
      <c r="A7" s="444"/>
      <c r="B7" s="444" t="s">
        <v>24</v>
      </c>
      <c r="C7" s="645">
        <v>0</v>
      </c>
      <c r="D7" s="646">
        <v>8525537.6</v>
      </c>
      <c r="E7" s="648" t="s">
        <v>25</v>
      </c>
    </row>
    <row r="8" spans="1:5" s="3" customFormat="1" ht="12.75" customHeight="1">
      <c r="A8" s="5"/>
      <c r="B8" s="649" t="s">
        <v>26</v>
      </c>
      <c r="C8" s="645">
        <v>0</v>
      </c>
      <c r="D8" s="646">
        <v>133248</v>
      </c>
      <c r="E8" s="650"/>
    </row>
    <row r="9" spans="1:5" s="3" customFormat="1" ht="12.75" customHeight="1">
      <c r="A9" s="419"/>
      <c r="B9" s="444" t="s">
        <v>27</v>
      </c>
      <c r="C9" s="645">
        <v>0</v>
      </c>
      <c r="D9" s="646">
        <v>308509.55</v>
      </c>
      <c r="E9" s="647"/>
    </row>
    <row r="10" spans="1:5" s="3" customFormat="1" ht="12.75" customHeight="1">
      <c r="A10" s="419"/>
      <c r="B10" s="444" t="s">
        <v>28</v>
      </c>
      <c r="C10" s="645">
        <v>0</v>
      </c>
      <c r="D10" s="646">
        <f>1049396+600+80804</f>
        <v>1130800</v>
      </c>
      <c r="E10" s="647" t="s">
        <v>29</v>
      </c>
    </row>
    <row r="11" spans="1:5" s="3" customFormat="1" ht="12.75" customHeight="1">
      <c r="A11" s="419"/>
      <c r="B11" s="444" t="s">
        <v>30</v>
      </c>
      <c r="C11" s="645">
        <v>0</v>
      </c>
      <c r="D11" s="646">
        <v>270000</v>
      </c>
      <c r="E11" s="647"/>
    </row>
    <row r="12" spans="1:5" s="3" customFormat="1" ht="12.75" customHeight="1">
      <c r="A12" s="419"/>
      <c r="B12" s="444"/>
      <c r="C12" s="645"/>
      <c r="D12" s="646"/>
      <c r="E12" s="647"/>
    </row>
    <row r="13" spans="1:5" s="2" customFormat="1" ht="12.75" customHeight="1">
      <c r="A13" s="651"/>
      <c r="B13" s="652" t="s">
        <v>456</v>
      </c>
      <c r="C13" s="653">
        <v>0</v>
      </c>
      <c r="D13" s="654">
        <f>SUM(D4:D11)</f>
        <v>10490300.48</v>
      </c>
      <c r="E13" s="655"/>
    </row>
    <row r="14" spans="1:5" s="3" customFormat="1" ht="12.75" customHeight="1">
      <c r="A14" s="651"/>
      <c r="B14" s="444"/>
      <c r="C14" s="645"/>
      <c r="D14" s="646"/>
      <c r="E14" s="647"/>
    </row>
    <row r="15" spans="1:5" s="3" customFormat="1" ht="12.75" customHeight="1">
      <c r="A15" s="419"/>
      <c r="B15" s="444" t="s">
        <v>31</v>
      </c>
      <c r="C15" s="645"/>
      <c r="D15" s="646"/>
      <c r="E15" s="647"/>
    </row>
    <row r="16" spans="1:5" s="3" customFormat="1" ht="12.75" customHeight="1">
      <c r="A16" s="419"/>
      <c r="B16" s="444" t="s">
        <v>32</v>
      </c>
      <c r="C16" s="645">
        <v>0</v>
      </c>
      <c r="D16" s="646">
        <v>72590</v>
      </c>
      <c r="E16" s="647"/>
    </row>
    <row r="17" spans="1:5" s="3" customFormat="1" ht="12.75" customHeight="1">
      <c r="A17" s="419"/>
      <c r="B17" s="444" t="s">
        <v>33</v>
      </c>
      <c r="C17" s="645">
        <v>0</v>
      </c>
      <c r="D17" s="646">
        <v>51362</v>
      </c>
      <c r="E17" s="647"/>
    </row>
    <row r="18" spans="1:5" s="3" customFormat="1" ht="12.75" customHeight="1">
      <c r="A18" s="444"/>
      <c r="B18" s="444" t="s">
        <v>21</v>
      </c>
      <c r="C18" s="645">
        <v>0</v>
      </c>
      <c r="D18" s="646">
        <v>45100</v>
      </c>
      <c r="E18" s="1"/>
    </row>
    <row r="19" spans="1:5" s="3" customFormat="1" ht="12.75" customHeight="1">
      <c r="A19" s="444"/>
      <c r="B19" s="444" t="s">
        <v>22</v>
      </c>
      <c r="C19" s="645">
        <v>0</v>
      </c>
      <c r="D19" s="646">
        <v>2492</v>
      </c>
      <c r="E19" s="1"/>
    </row>
    <row r="20" spans="1:5" s="3" customFormat="1" ht="12.75" customHeight="1">
      <c r="A20" s="444"/>
      <c r="B20" s="444" t="s">
        <v>34</v>
      </c>
      <c r="C20" s="645">
        <v>0</v>
      </c>
      <c r="D20" s="646">
        <v>3140</v>
      </c>
      <c r="E20" s="648"/>
    </row>
    <row r="21" spans="1:5" s="3" customFormat="1" ht="12.75" customHeight="1">
      <c r="A21" s="444"/>
      <c r="B21" s="444" t="s">
        <v>24</v>
      </c>
      <c r="C21" s="645">
        <v>0</v>
      </c>
      <c r="D21" s="646">
        <v>1098638.78</v>
      </c>
      <c r="E21" s="656" t="s">
        <v>35</v>
      </c>
    </row>
    <row r="22" spans="1:5" s="3" customFormat="1" ht="12.75" customHeight="1">
      <c r="A22" s="444"/>
      <c r="B22" s="444" t="s">
        <v>36</v>
      </c>
      <c r="C22" s="645">
        <v>0</v>
      </c>
      <c r="D22" s="646">
        <v>12169</v>
      </c>
      <c r="E22" s="656"/>
    </row>
    <row r="23" spans="1:5" s="3" customFormat="1" ht="12.75" customHeight="1">
      <c r="A23" s="444"/>
      <c r="B23" s="444" t="s">
        <v>26</v>
      </c>
      <c r="C23" s="645">
        <v>0</v>
      </c>
      <c r="D23" s="646">
        <v>93449</v>
      </c>
      <c r="E23" s="657"/>
    </row>
    <row r="24" spans="1:5" s="3" customFormat="1" ht="12.75" customHeight="1">
      <c r="A24" s="444"/>
      <c r="B24" s="444" t="s">
        <v>28</v>
      </c>
      <c r="C24" s="645">
        <v>0</v>
      </c>
      <c r="D24" s="646">
        <f>249100+48000</f>
        <v>297100</v>
      </c>
      <c r="E24" s="657" t="s">
        <v>29</v>
      </c>
    </row>
    <row r="25" spans="1:5" s="3" customFormat="1" ht="12.75" customHeight="1">
      <c r="A25" s="444"/>
      <c r="B25" s="444" t="s">
        <v>30</v>
      </c>
      <c r="C25" s="645">
        <v>0</v>
      </c>
      <c r="D25" s="646">
        <v>151000</v>
      </c>
      <c r="E25" s="657"/>
    </row>
    <row r="26" spans="1:5" s="3" customFormat="1" ht="12.75" customHeight="1">
      <c r="A26" s="444"/>
      <c r="B26" s="444"/>
      <c r="C26" s="645"/>
      <c r="D26" s="646"/>
      <c r="E26" s="657"/>
    </row>
    <row r="27" spans="1:5" s="2" customFormat="1" ht="12.75" customHeight="1">
      <c r="A27" s="652"/>
      <c r="B27" s="652" t="s">
        <v>456</v>
      </c>
      <c r="C27" s="653">
        <v>0</v>
      </c>
      <c r="D27" s="654">
        <f>SUM(D16:D25)</f>
        <v>1827040.78</v>
      </c>
      <c r="E27" s="658"/>
    </row>
    <row r="28" spans="1:5" s="3" customFormat="1" ht="12.75" customHeight="1">
      <c r="A28" s="444"/>
      <c r="B28" s="444"/>
      <c r="C28" s="645"/>
      <c r="D28" s="646"/>
      <c r="E28" s="657"/>
    </row>
    <row r="29" spans="1:5" s="3" customFormat="1" ht="12.75" customHeight="1">
      <c r="A29" s="444" t="s">
        <v>37</v>
      </c>
      <c r="B29" s="444"/>
      <c r="C29" s="645"/>
      <c r="D29" s="646"/>
      <c r="E29" s="657"/>
    </row>
    <row r="30" spans="1:5" s="3" customFormat="1" ht="12.75" customHeight="1">
      <c r="A30" s="444"/>
      <c r="B30" s="444" t="s">
        <v>22</v>
      </c>
      <c r="C30" s="645">
        <v>0</v>
      </c>
      <c r="D30" s="646">
        <v>720</v>
      </c>
      <c r="E30" s="657"/>
    </row>
    <row r="31" spans="1:5" s="3" customFormat="1" ht="12.75" customHeight="1">
      <c r="A31" s="444"/>
      <c r="B31" s="444"/>
      <c r="C31" s="645"/>
      <c r="D31" s="646"/>
      <c r="E31" s="657"/>
    </row>
    <row r="32" spans="1:5" s="2" customFormat="1" ht="12.75" customHeight="1">
      <c r="A32" s="652"/>
      <c r="B32" s="652" t="s">
        <v>456</v>
      </c>
      <c r="C32" s="653">
        <v>0</v>
      </c>
      <c r="D32" s="654">
        <f>SUM(D29:D31)</f>
        <v>720</v>
      </c>
      <c r="E32" s="658"/>
    </row>
    <row r="33" spans="1:5" s="3" customFormat="1" ht="12.75" customHeight="1" thickBot="1">
      <c r="A33" s="444"/>
      <c r="B33" s="444"/>
      <c r="C33" s="645"/>
      <c r="D33" s="646"/>
      <c r="E33" s="659"/>
    </row>
    <row r="34" spans="1:5" s="578" customFormat="1" ht="18.75" customHeight="1" thickBot="1">
      <c r="A34" s="613" t="s">
        <v>38</v>
      </c>
      <c r="B34" s="613"/>
      <c r="C34" s="660">
        <v>0</v>
      </c>
      <c r="D34" s="661">
        <f>D13+D27+D32</f>
        <v>12318061.26</v>
      </c>
      <c r="E34" s="613"/>
    </row>
    <row r="35" spans="3:5" ht="12.75">
      <c r="C35" s="662"/>
      <c r="D35" s="662"/>
      <c r="E35" s="7"/>
    </row>
    <row r="36" spans="3:5" ht="12.75">
      <c r="C36" s="662"/>
      <c r="D36" s="662"/>
      <c r="E36" s="7"/>
    </row>
    <row r="37" spans="3:5" ht="12.75">
      <c r="C37" s="662"/>
      <c r="D37" s="662"/>
      <c r="E37" s="7"/>
    </row>
    <row r="38" spans="3:5" ht="12.75">
      <c r="C38" s="662"/>
      <c r="D38" s="662"/>
      <c r="E38" s="7"/>
    </row>
    <row r="39" spans="3:5" ht="12.75">
      <c r="C39" s="662"/>
      <c r="D39" s="662"/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</sheetData>
  <mergeCells count="1">
    <mergeCell ref="A2:B2"/>
  </mergeCells>
  <printOptions gridLines="1" horizontalCentered="1" verticalCentered="1"/>
  <pageMargins left="0.1968503937007874" right="0.1968503937007874" top="1.1023622047244095" bottom="0.5511811023622047" header="0.7480314960629921" footer="0.31496062992125984"/>
  <pageSetup horizontalDpi="600" verticalDpi="600" orientation="landscape" paperSize="9" scale="83" r:id="rId1"/>
  <headerFooter alignWithMargins="0">
    <oddHeader>&amp;C&amp;"Arial CE,Tučné"&amp;12Hospodaření účelových nerozpočtovaných fondů&amp;RPříloha č. 6</oddHeader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korpe</dc:creator>
  <cp:keywords/>
  <dc:description/>
  <cp:lastModifiedBy>kotja</cp:lastModifiedBy>
  <cp:lastPrinted>2010-04-08T13:30:48Z</cp:lastPrinted>
  <dcterms:created xsi:type="dcterms:W3CDTF">2008-09-01T14:40:50Z</dcterms:created>
  <dcterms:modified xsi:type="dcterms:W3CDTF">2010-04-09T06:08:20Z</dcterms:modified>
  <cp:category/>
  <cp:version/>
  <cp:contentType/>
  <cp:contentStatus/>
</cp:coreProperties>
</file>