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activeTab="0"/>
  </bookViews>
  <sheets>
    <sheet name="soupis příloh" sheetId="1" r:id="rId1"/>
    <sheet name="Př.1 PŘÍJMY" sheetId="2" r:id="rId2"/>
    <sheet name="Př.2 Sumář PO" sheetId="3" r:id="rId3"/>
    <sheet name="Př.3 Sumář OVS" sheetId="4" r:id="rId4"/>
    <sheet name="Př.4 Investice" sheetId="5" r:id="rId5"/>
    <sheet name="Př.5 Financování" sheetId="6" r:id="rId6"/>
    <sheet name="Př.6 Rekapitulace P+V+F" sheetId="7" r:id="rId7"/>
    <sheet name="Př.7 FRB klasika" sheetId="8" r:id="rId8"/>
    <sheet name="Př.7 FRB povodeň" sheetId="9" r:id="rId9"/>
    <sheet name="Př.7 soc. fond" sheetId="10" r:id="rId10"/>
    <sheet name="Př.8 fin.vypořádání" sheetId="11" r:id="rId11"/>
    <sheet name="Př.8-obligace, úvěry, půjčky" sheetId="12" r:id="rId12"/>
    <sheet name="Př. 8 fin.vypořádání-Ol.kraj" sheetId="13" r:id="rId13"/>
    <sheet name="Př.8 fin.vypoř. MZE ČR " sheetId="14" r:id="rId14"/>
    <sheet name="Př.8 fin.vypoř.MV ČR " sheetId="15" r:id="rId15"/>
    <sheet name="Př.8 fin.vypoř. MK ČR " sheetId="16" r:id="rId16"/>
    <sheet name="Př. 8 fin.vypoř.MPO ČR " sheetId="17" r:id="rId17"/>
    <sheet name="Př.8 fin.vypoř. Úřad vlády " sheetId="18" r:id="rId18"/>
    <sheet name="Př.8 fin.vypoř.MŽP ČR " sheetId="19" r:id="rId19"/>
    <sheet name="Př.8 fin.vypoř. MMR ČR" sheetId="20" r:id="rId20"/>
    <sheet name="Př.8 fin.vypoř.SFŽP ČR " sheetId="21" r:id="rId21"/>
    <sheet name="Př.8 fin.vypoř. SFRB ČR " sheetId="22" r:id="rId22"/>
    <sheet name="Př.8 fin.vypoř. MV ČR " sheetId="23" r:id="rId23"/>
    <sheet name="Př.8 fin.vypoř. MMR ČR " sheetId="24" r:id="rId24"/>
    <sheet name="Př.8 fin.vypoř. MPSV ČR " sheetId="25" r:id="rId25"/>
    <sheet name="Př.8 fin. vypoř. MK ČR " sheetId="26" r:id="rId26"/>
    <sheet name="Př.8 fin.vypoř. Národní fond " sheetId="27" r:id="rId27"/>
  </sheets>
  <externalReferences>
    <externalReference r:id="rId30"/>
    <externalReference r:id="rId31"/>
    <externalReference r:id="rId32"/>
    <externalReference r:id="rId33"/>
    <externalReference r:id="rId34"/>
    <externalReference r:id="rId35"/>
    <externalReference r:id="rId36"/>
  </externalReferences>
  <definedNames>
    <definedName name="_xlnm.Print_Titles" localSheetId="1">'Př.1 PŘÍJMY'!$1:$1</definedName>
    <definedName name="_xlnm.Print_Titles" localSheetId="3">'Př.3 Sumář OVS'!$1:$1</definedName>
    <definedName name="_xlnm.Print_Titles" localSheetId="4">'Př.4 Investice'!$1:$1</definedName>
    <definedName name="_xlnm.Print_Area" localSheetId="16">'Př. 8 fin.vypoř.MPO ČR '!$A$1:$I$46</definedName>
    <definedName name="_xlnm.Print_Area" localSheetId="1">'Př.1 PŘÍJMY'!$A$1:$G$209</definedName>
    <definedName name="_xlnm.Print_Area" localSheetId="2">'Př.2 Sumář PO'!$A$1:$J$9</definedName>
    <definedName name="_xlnm.Print_Area" localSheetId="3">'Př.3 Sumář OVS'!$A$1:$N$58</definedName>
    <definedName name="_xlnm.Print_Area" localSheetId="4">'Př.4 Investice'!$A$1:$N$422</definedName>
    <definedName name="_xlnm.Print_Area" localSheetId="6">'Př.6 Rekapitulace P+V+F'!$A$1:$I$58</definedName>
    <definedName name="_xlnm.Print_Area" localSheetId="7">'Př.7 FRB klasika'!$A$1:$I$29</definedName>
    <definedName name="_xlnm.Print_Area" localSheetId="8">'Př.7 FRB povodeň'!$A$1:$I$30</definedName>
    <definedName name="_xlnm.Print_Area" localSheetId="9">'Př.7 soc. fond'!$A$1:$E$34</definedName>
    <definedName name="_xlnm.Print_Area" localSheetId="25">'Př.8 fin. vypoř. MK ČR '!$A$1:$J$48</definedName>
    <definedName name="_xlnm.Print_Area" localSheetId="15">'Př.8 fin.vypoř. MK ČR '!$A$1:$I$46</definedName>
    <definedName name="_xlnm.Print_Area" localSheetId="19">'Př.8 fin.vypoř. MMR ČR'!$A$1:$G$42</definedName>
    <definedName name="_xlnm.Print_Area" localSheetId="23">'Př.8 fin.vypoř. MMR ČR '!$A$1:$J$43</definedName>
    <definedName name="_xlnm.Print_Area" localSheetId="24">'Př.8 fin.vypoř. MPSV ČR '!$A$1:$J$40</definedName>
    <definedName name="_xlnm.Print_Area" localSheetId="22">'Př.8 fin.vypoř. MV ČR '!$A$1:$J$42</definedName>
    <definedName name="_xlnm.Print_Area" localSheetId="13">'Př.8 fin.vypoř. MZE ČR '!$A$4:$J$46</definedName>
    <definedName name="_xlnm.Print_Area" localSheetId="26">'Př.8 fin.vypoř. Národní fond '!$A$1:$F$42</definedName>
    <definedName name="_xlnm.Print_Area" localSheetId="21">'Př.8 fin.vypoř. SFRB ČR '!$A$1:$J$46</definedName>
    <definedName name="_xlnm.Print_Area" localSheetId="17">'Př.8 fin.vypoř. Úřad vlády '!$A$1:$K$46</definedName>
    <definedName name="_xlnm.Print_Area" localSheetId="14">'Př.8 fin.vypoř.MV ČR '!$A$1:$J$46</definedName>
    <definedName name="_xlnm.Print_Area" localSheetId="18">'Př.8 fin.vypoř.MŽP ČR '!$A$1:$J$49</definedName>
    <definedName name="_xlnm.Print_Area" localSheetId="20">'Př.8 fin.vypoř.SFŽP ČR '!$A$1:$J$46</definedName>
    <definedName name="Odložené_zahájení" localSheetId="1">#REF!</definedName>
    <definedName name="Odložené_zahájení" localSheetId="2">#REF!</definedName>
    <definedName name="Odložené_zahájení" localSheetId="3">#REF!</definedName>
    <definedName name="Odložené_zahájení">#REF!</definedName>
    <definedName name="Rozestavěné_stavby" localSheetId="1">#REF!</definedName>
    <definedName name="Rozestavěné_stavby" localSheetId="2">#REF!</definedName>
    <definedName name="Rozestavěné_stavby" localSheetId="3">#REF!</definedName>
    <definedName name="Rozestavěné_stavby">#REF!</definedName>
    <definedName name="Soupis98" localSheetId="1">#REF!</definedName>
    <definedName name="Soupis98" localSheetId="2">#REF!</definedName>
    <definedName name="Soupis98" localSheetId="3">#REF!</definedName>
    <definedName name="Soupis98">#REF!</definedName>
    <definedName name="Sumář99_Dotaz_plán99" localSheetId="1">#REF!</definedName>
    <definedName name="Sumář99_Dotaz_plán99" localSheetId="2">#REF!</definedName>
    <definedName name="Sumář99_Dotaz_plán99" localSheetId="3">#REF!</definedName>
    <definedName name="Sumář99_Dotaz_plán99">#REF!</definedName>
    <definedName name="Sumář99_Dotaz98" localSheetId="1">#REF!</definedName>
    <definedName name="Sumář99_Dotaz98" localSheetId="2">#REF!</definedName>
    <definedName name="Sumář99_Dotaz98" localSheetId="3">#REF!</definedName>
    <definedName name="Sumář99_Dotaz98">#REF!</definedName>
  </definedNames>
  <calcPr fullCalcOnLoad="1"/>
</workbook>
</file>

<file path=xl/sharedStrings.xml><?xml version="1.0" encoding="utf-8"?>
<sst xmlns="http://schemas.openxmlformats.org/spreadsheetml/2006/main" count="2000" uniqueCount="1178">
  <si>
    <t>Třída 8 - financování</t>
  </si>
  <si>
    <t>dlouhodobé přijaté půjčené prostředky</t>
  </si>
  <si>
    <t>krátkodobé přijaté půjčky</t>
  </si>
  <si>
    <t>obnovený revolving. úvěr u KB, a. s.</t>
  </si>
  <si>
    <t>uhrazené splátky krátkodobých přij. půjček</t>
  </si>
  <si>
    <t>splátka revolvingového úvěru u KB, a. s.</t>
  </si>
  <si>
    <t>uhrazené splátky dlouhodobých přij. půjček</t>
  </si>
  <si>
    <t xml:space="preserve">22 mil. Kč ČS, a. s.; 13,8 mil. Kč KB, a. s.; 17.762,9 tis. Kč MF ČR (16.890 tis. Kč ČOV a 872,9 tis. Kč kanal. Holice); 11.765 tis. Kč SMV, a. s.; 1.388 tis. Kč SFŽP (rekult. skl. Grygov); 4,2 mil. Kč MMR ČR (FRB) </t>
  </si>
  <si>
    <t>změna stavu na bankovních účtech</t>
  </si>
  <si>
    <t>fin. vypořádání vl. hospodaření města za r. 2005 a zapojení zůstatků na účtech účel. fondů</t>
  </si>
  <si>
    <t>nerealizované kurzové rozdíly</t>
  </si>
  <si>
    <t>aktivní operace řízení likvidity</t>
  </si>
  <si>
    <t>CELKEM FINANCOVÁNÍ - třída 8</t>
  </si>
  <si>
    <t>PŘÍJMY - třída 1 až třída 4</t>
  </si>
  <si>
    <t>PŘÍJMY (třída 1 až 4)</t>
  </si>
  <si>
    <t>VÝDAJE (třída 5 a 6)</t>
  </si>
  <si>
    <t>ROZDÍL (třída 8)</t>
  </si>
  <si>
    <r>
      <t xml:space="preserve">ÚZ 90102 </t>
    </r>
    <r>
      <rPr>
        <sz val="8"/>
        <rFont val="Arial Narrow"/>
        <family val="2"/>
      </rPr>
      <t>půjčka SFŽP ČR na inv. akci "Rekonstrukce a dobudování stokové sítě města - ISPA I"</t>
    </r>
  </si>
  <si>
    <r>
      <t>dočerpání 350 mil. úvěru z r. 2005</t>
    </r>
  </si>
  <si>
    <t xml:space="preserve">Položka </t>
  </si>
  <si>
    <t>Schválený rozpočet 2006</t>
  </si>
  <si>
    <t>Upravený rozpočet                            k 4.5.2004</t>
  </si>
  <si>
    <t>Upravený rozpočet                                     k 27.12.2006</t>
  </si>
  <si>
    <t>Čerpání / plnění                       k 31.12.2006</t>
  </si>
  <si>
    <t>%                  čerpání</t>
  </si>
  <si>
    <t>zapojení zůstatku na účtu fondu (stav k 31. 12. 2005)</t>
  </si>
  <si>
    <t>druhá část splátky MMR ČR (o tuto částku jsou nižší zdroje fondu)</t>
  </si>
  <si>
    <t>příjmy</t>
  </si>
  <si>
    <t>SNO, a. s. - náhrady za přednostní  přidělování  bytů</t>
  </si>
  <si>
    <t>zdroje FRB celkem</t>
  </si>
  <si>
    <t>výdaje</t>
  </si>
  <si>
    <t>bydlení a byt. hosp. j. n.</t>
  </si>
  <si>
    <t>jednotek</t>
  </si>
  <si>
    <t>výdaje FRB celkem</t>
  </si>
  <si>
    <t>nevyčerpané prostředky jsou převoditelné do dalších let</t>
  </si>
  <si>
    <r>
      <t>8115-</t>
    </r>
    <r>
      <rPr>
        <sz val="8"/>
        <rFont val="Arial CE"/>
        <family val="2"/>
      </rPr>
      <t>změna  stavu na bank. účtech</t>
    </r>
  </si>
  <si>
    <r>
      <t>8124-</t>
    </r>
    <r>
      <rPr>
        <sz val="8"/>
        <rFont val="Arial CE"/>
        <family val="2"/>
      </rPr>
      <t>uhraz. splátky dlohodob. úvěrů</t>
    </r>
  </si>
  <si>
    <r>
      <t>2141</t>
    </r>
    <r>
      <rPr>
        <sz val="8"/>
        <rFont val="Arial CE"/>
        <family val="2"/>
      </rPr>
      <t>-příjmy z úroků</t>
    </r>
  </si>
  <si>
    <r>
      <t>2328-</t>
    </r>
    <r>
      <rPr>
        <sz val="8"/>
        <rFont val="Arial CE"/>
        <family val="2"/>
      </rPr>
      <t>neidentifikované příjmy</t>
    </r>
  </si>
  <si>
    <r>
      <t>2460-</t>
    </r>
    <r>
      <rPr>
        <sz val="8"/>
        <rFont val="Arial CE"/>
        <family val="2"/>
      </rPr>
      <t>splátky půjček od obyvatelstva</t>
    </r>
  </si>
  <si>
    <r>
      <t>4132-</t>
    </r>
    <r>
      <rPr>
        <sz val="8"/>
        <rFont val="Arial CE"/>
        <family val="2"/>
      </rPr>
      <t>převody z ost. vlastních fondů</t>
    </r>
  </si>
  <si>
    <r>
      <t xml:space="preserve"> schvaluje ZmO</t>
    </r>
    <r>
      <rPr>
        <sz val="8"/>
        <rFont val="Arial CE"/>
        <family val="2"/>
      </rPr>
      <t xml:space="preserve"> (dle vyhl. 13/2003)</t>
    </r>
  </si>
  <si>
    <r>
      <t>6171</t>
    </r>
    <r>
      <rPr>
        <sz val="8"/>
        <rFont val="Arial CE"/>
        <family val="2"/>
      </rPr>
      <t>-činnost místní správy</t>
    </r>
  </si>
  <si>
    <r>
      <t>5161-</t>
    </r>
    <r>
      <rPr>
        <sz val="8"/>
        <rFont val="Arial CE"/>
        <family val="2"/>
      </rPr>
      <t>služby pošt</t>
    </r>
  </si>
  <si>
    <r>
      <t>5169-</t>
    </r>
    <r>
      <rPr>
        <sz val="8"/>
        <rFont val="Arial CE"/>
        <family val="2"/>
      </rPr>
      <t>nákup služeb j.n.</t>
    </r>
  </si>
  <si>
    <r>
      <t>3619</t>
    </r>
    <r>
      <rPr>
        <sz val="8"/>
        <rFont val="Arial CE"/>
        <family val="2"/>
      </rPr>
      <t>-programy rozvoje</t>
    </r>
  </si>
  <si>
    <r>
      <t>5163-</t>
    </r>
    <r>
      <rPr>
        <sz val="8"/>
        <rFont val="Arial CE"/>
        <family val="2"/>
      </rPr>
      <t>sl. peněžních ústavů</t>
    </r>
  </si>
  <si>
    <r>
      <t>5660-</t>
    </r>
    <r>
      <rPr>
        <sz val="8"/>
        <rFont val="Arial CE"/>
        <family val="2"/>
      </rPr>
      <t xml:space="preserve">neinv. půjčky obyv. </t>
    </r>
  </si>
  <si>
    <r>
      <t>5622-</t>
    </r>
    <r>
      <rPr>
        <sz val="8"/>
        <rFont val="Arial CE"/>
        <family val="2"/>
      </rPr>
      <t>neinv. půjčky občanským sdr</t>
    </r>
    <r>
      <rPr>
        <b/>
        <sz val="8"/>
        <rFont val="Arial CE"/>
        <family val="2"/>
      </rPr>
      <t>.</t>
    </r>
  </si>
  <si>
    <r>
      <t>5624-</t>
    </r>
    <r>
      <rPr>
        <sz val="8"/>
        <rFont val="Arial CE"/>
        <family val="2"/>
      </rPr>
      <t>neinv. půjčky spol. vlastníků</t>
    </r>
  </si>
  <si>
    <t>Upravený rozpočet              k 27.12.2006</t>
  </si>
  <si>
    <t>Čerpání / plnění                          k 31.12.2006</t>
  </si>
  <si>
    <t>%                     čerpání</t>
  </si>
  <si>
    <t xml:space="preserve">zapojení zůstatku na účtu fondu (stav k 31. 12. 2005) </t>
  </si>
  <si>
    <t xml:space="preserve">přesun mezi účty (použití úroků účtu účelově určené </t>
  </si>
  <si>
    <t>na protipovodňová opatření)</t>
  </si>
  <si>
    <t xml:space="preserve">účelové státní prostředky určené výhradně na povodňové půjčky            </t>
  </si>
  <si>
    <t>prostředky na REZERVĚ jsou určeny na splácení půjčky do SR</t>
  </si>
  <si>
    <t>v rozp. územní úrovně</t>
  </si>
  <si>
    <t xml:space="preserve">převod úroků - krytí výdajů na protipovodńové zábrany -  </t>
  </si>
  <si>
    <t>povoleno MMR ČR</t>
  </si>
  <si>
    <t>Celkem výdaje fondy</t>
  </si>
  <si>
    <t>Čerpání                  k 31.12.2006</t>
  </si>
  <si>
    <t>Výdaje fondů a účtů nerozpočtovaných</t>
  </si>
  <si>
    <t>Sociální fond</t>
  </si>
  <si>
    <t>5136 - knihy, učební pomůcky, tisk</t>
  </si>
  <si>
    <t>5139 - nákup materiálu j. n.</t>
  </si>
  <si>
    <t>5163 - služby peněžních ústavů</t>
  </si>
  <si>
    <t>poplatky</t>
  </si>
  <si>
    <t>5164 - nájemné</t>
  </si>
  <si>
    <t>5169 - nákup ostatních služeb</t>
  </si>
  <si>
    <t>vstupenky, zájezdy, přísp. na stravné</t>
  </si>
  <si>
    <t>5175 - pohoštění</t>
  </si>
  <si>
    <t>5194 - věcné dary</t>
  </si>
  <si>
    <t>5660 - neinv. půjčky obyvatelstvu</t>
  </si>
  <si>
    <t>5182- zálohy vl. pokladně</t>
  </si>
  <si>
    <t>5189-ost. poskytované zálohy</t>
  </si>
  <si>
    <t>Celkem</t>
  </si>
  <si>
    <t>Sociální fond Městské policie</t>
  </si>
  <si>
    <t>5134-prádlo, oděv a obuv</t>
  </si>
  <si>
    <t>vratka v Kč při předčasném ukončení pracovního poměru zaměstnanců</t>
  </si>
  <si>
    <t>5137-DHDM</t>
  </si>
  <si>
    <t>příspěvek na stravné</t>
  </si>
  <si>
    <t>5182-zálohy vl. pokladně</t>
  </si>
  <si>
    <t>FRR</t>
  </si>
  <si>
    <t>Celkem  fondy</t>
  </si>
  <si>
    <r>
      <t>2141-</t>
    </r>
    <r>
      <rPr>
        <sz val="8"/>
        <rFont val="Arial CE"/>
        <family val="2"/>
      </rPr>
      <t>příjmy z úroků</t>
    </r>
  </si>
  <si>
    <r>
      <t>6171-</t>
    </r>
    <r>
      <rPr>
        <sz val="8"/>
        <rFont val="Arial CE"/>
        <family val="2"/>
      </rPr>
      <t>činnost místni správy</t>
    </r>
  </si>
  <si>
    <r>
      <t>5901-</t>
    </r>
    <r>
      <rPr>
        <sz val="8"/>
        <rFont val="Arial CE"/>
        <family val="2"/>
      </rPr>
      <t>nespecifikované rezervy</t>
    </r>
  </si>
  <si>
    <r>
      <t>6330</t>
    </r>
    <r>
      <rPr>
        <sz val="8"/>
        <rFont val="Arial CE"/>
        <family val="2"/>
      </rPr>
      <t>-převody vlastním fondům</t>
    </r>
  </si>
  <si>
    <r>
      <t>5345</t>
    </r>
    <r>
      <rPr>
        <sz val="8"/>
        <rFont val="Arial CE"/>
        <family val="2"/>
      </rPr>
      <t>-převody vlast. rozpočt. účtům</t>
    </r>
  </si>
  <si>
    <t>Ministerstvo financí</t>
  </si>
  <si>
    <t xml:space="preserve">                                                       FINANČNÍ VYPOŘÁDÁNÍ OBCÍ ZA ROK 2006</t>
  </si>
  <si>
    <t xml:space="preserve">            Tabulka č. 1a</t>
  </si>
  <si>
    <t>Letenská 15</t>
  </si>
  <si>
    <t>Praha 1</t>
  </si>
  <si>
    <t>odbor 12</t>
  </si>
  <si>
    <t xml:space="preserve">         Finanční vypořádání dotací a návratných finančních výpomocí poskytnutých obcím, nebo dobrovolným svazkům obcí  </t>
  </si>
  <si>
    <t xml:space="preserve">                                           prostřednictvím kraje z kapitoly Všeobecná pokladní správa v roce 2006</t>
  </si>
  <si>
    <t>Obec: Olomouc</t>
  </si>
  <si>
    <t>v Kč</t>
  </si>
  <si>
    <t>Číslo jednací</t>
  </si>
  <si>
    <t>Účelový znak</t>
  </si>
  <si>
    <t>Schválený rozpočet</t>
  </si>
  <si>
    <t>Rozpočet</t>
  </si>
  <si>
    <t>Poskytnuto</t>
  </si>
  <si>
    <t>Vráceno</t>
  </si>
  <si>
    <t>Skutečnost                  k 31. 12. 2006</t>
  </si>
  <si>
    <t>Vratka dotace</t>
  </si>
  <si>
    <t>Ukazatel</t>
  </si>
  <si>
    <t>po</t>
  </si>
  <si>
    <t>v průběhu</t>
  </si>
  <si>
    <t>a NFV</t>
  </si>
  <si>
    <t>změnách</t>
  </si>
  <si>
    <t>k 31.12. 2006</t>
  </si>
  <si>
    <t>roku 2006</t>
  </si>
  <si>
    <t>při fin. vypoř.</t>
  </si>
  <si>
    <t>Volby do Poslanecké sněmovny Parlamentu</t>
  </si>
  <si>
    <t>Volby do zastupitelstev obcí a Senátu PČR</t>
  </si>
  <si>
    <t>Dávky sociální péče</t>
  </si>
  <si>
    <t>Výkon dopravně správní agendy</t>
  </si>
  <si>
    <t>Prevence kriminality</t>
  </si>
  <si>
    <t>Sociálně právní ochrana dětí</t>
  </si>
  <si>
    <t>Celkem k doplacení</t>
  </si>
  <si>
    <t>Celkem k vrácení</t>
  </si>
  <si>
    <t>Zpracoval : Látalová, 585 513 325</t>
  </si>
  <si>
    <t>Schválil : Bc. Vičarová, 585 513 315</t>
  </si>
  <si>
    <t>Datum: 19. 01. 2007</t>
  </si>
  <si>
    <t>Razítko obecního úřadu :</t>
  </si>
  <si>
    <t>/příjmení, tlf, fax, podpis/</t>
  </si>
  <si>
    <t>Tabulka č. 1b</t>
  </si>
  <si>
    <t>Tabulka č. 1d</t>
  </si>
  <si>
    <t>Obec:   Olomouc</t>
  </si>
  <si>
    <t xml:space="preserve">         Přehled úvěrů, půjček a finančních výpomocí přijatých obcemi od peněžních ústavů, jiných fyzických a právnických osob v roce 2006</t>
  </si>
  <si>
    <t xml:space="preserve">                                                                 Přehled o komunálních obligacích emitovaných obcemi v roce 2006</t>
  </si>
  <si>
    <t>(v tis. Kč)</t>
  </si>
  <si>
    <t>(v mil. Kč)</t>
  </si>
  <si>
    <t xml:space="preserve">Termín </t>
  </si>
  <si>
    <t>Výše</t>
  </si>
  <si>
    <t xml:space="preserve">Úroková </t>
  </si>
  <si>
    <t>Název obce</t>
  </si>
  <si>
    <t>Účel úvěru</t>
  </si>
  <si>
    <t>Výše úvěru</t>
  </si>
  <si>
    <t>Měna</t>
  </si>
  <si>
    <t>Poskytovatel úvěru</t>
  </si>
  <si>
    <t>splatnosti</t>
  </si>
  <si>
    <t xml:space="preserve">úroku </t>
  </si>
  <si>
    <t>Způsob ručení</t>
  </si>
  <si>
    <t>Rok</t>
  </si>
  <si>
    <t>Povoleno</t>
  </si>
  <si>
    <t>Emitováno</t>
  </si>
  <si>
    <t>Splatnost</t>
  </si>
  <si>
    <t>sazba</t>
  </si>
  <si>
    <t>Účel použití</t>
  </si>
  <si>
    <t>Zadluženost k 31.12.2006</t>
  </si>
  <si>
    <t>v %</t>
  </si>
  <si>
    <t>Olomouc</t>
  </si>
  <si>
    <t>financování čas. nesouladu</t>
  </si>
  <si>
    <t>mezi pravidelnými provoz.</t>
  </si>
  <si>
    <t>CZK</t>
  </si>
  <si>
    <t>Komerční banka,a.s.</t>
  </si>
  <si>
    <t>28.04.2006</t>
  </si>
  <si>
    <t>bez zajištění</t>
  </si>
  <si>
    <t>výdaji a příjmy</t>
  </si>
  <si>
    <t>financování investičních akcí</t>
  </si>
  <si>
    <t>K r a j   c e l k e m</t>
  </si>
  <si>
    <t>Vypracoval :  Kroutilová</t>
  </si>
  <si>
    <t>Schválil :  Bc. Vičarová</t>
  </si>
  <si>
    <t xml:space="preserve">                Datum : 19.01.2007</t>
  </si>
  <si>
    <t xml:space="preserve">           Datum : 19.01.2007</t>
  </si>
  <si>
    <t xml:space="preserve">                 Razítko obecního úřadu :</t>
  </si>
  <si>
    <t>tel : 585 513 368</t>
  </si>
  <si>
    <t>tel :  585 513 315</t>
  </si>
  <si>
    <t>Tabulka č. 3</t>
  </si>
  <si>
    <t>Nevyčerpané finanční prostředky pokytnuté z rozpočtu Olomouckého kraje v roce 2006 a vrácené v roce 2007</t>
  </si>
  <si>
    <t>Dotační titul</t>
  </si>
  <si>
    <t>Výše poskytnutých dotací k 31. 12. 2006</t>
  </si>
  <si>
    <t>Vratka dotace v roce 2007</t>
  </si>
  <si>
    <t>Krajský úřad Olomouckého kraje pro Správu lesů města Olomouce na hospodaření v lesích</t>
  </si>
  <si>
    <t>Věcné vybavení jednotek sboru dobrovolých hasičů</t>
  </si>
  <si>
    <t>Likvidace kalamitního výskytu komáru</t>
  </si>
  <si>
    <t>Plnění regionálních funkcí knihoven (Knihovna města Olomouce)</t>
  </si>
  <si>
    <t>Projekt EUROPE DIRECT</t>
  </si>
  <si>
    <t>Moravské divadlo (1,5 mil. Kč) a Moravská filharmonie (1,3 mil. Kč)</t>
  </si>
  <si>
    <t>Moravské divadlo (1.532 tis. Kč) a Moravská filharmonie (334 tis. Kč)</t>
  </si>
  <si>
    <t>Jednotky sboru dobrovolných hasičů na odbornou přípravu a uskutečněný zásah</t>
  </si>
  <si>
    <t>bez ÚZ</t>
  </si>
  <si>
    <t>Celkem provozní dotace</t>
  </si>
  <si>
    <t>Cyklostezky (dle dodatku ke smlouvě možno čerpat i v roce 2007)</t>
  </si>
  <si>
    <t>Zpřístupnění prostor Gymnázia Čajkovského pro imobilního studenta</t>
  </si>
  <si>
    <t>Celkem investiční akce</t>
  </si>
  <si>
    <t>Celkem dotace Krajského úřadu Olomouckého kraje</t>
  </si>
  <si>
    <t>Moravskoslezský kraj pro Správu lesů města Olomouce na hospodaření v lesích</t>
  </si>
  <si>
    <t>C E L KE M   DOTACE   OD   K R A J U</t>
  </si>
  <si>
    <t>Sestavil:               S. Látalová</t>
  </si>
  <si>
    <t>Kontroloval:          Bc. Vítězslava Vičarová</t>
  </si>
  <si>
    <t>Datum a podpis:   22. 01. 2007</t>
  </si>
  <si>
    <r>
      <t xml:space="preserve">Obec: </t>
    </r>
    <r>
      <rPr>
        <b/>
        <sz val="10"/>
        <rFont val="Arial CE"/>
        <family val="2"/>
      </rPr>
      <t>Olomouc</t>
    </r>
  </si>
  <si>
    <t>Příloha č. 9 k vyhlášce č. 551/2004 Sb.</t>
  </si>
  <si>
    <t>Kraj: Olomoucký</t>
  </si>
  <si>
    <t xml:space="preserve">Kapitola: </t>
  </si>
  <si>
    <t>Ministerstvo zemědělství ČR</t>
  </si>
  <si>
    <t>Čj.</t>
  </si>
  <si>
    <t>účelový
znak</t>
  </si>
  <si>
    <t>Poskytnuto
k 31.12.2006</t>
  </si>
  <si>
    <t xml:space="preserve">Vráceno 
v průběhu roku
zpět na
účet kraje
</t>
  </si>
  <si>
    <t>Použito
k 31.12.2006</t>
  </si>
  <si>
    <t>Vratka dotace  a 
návratné finanční výpomoci
při finančním 
vypořádání</t>
  </si>
  <si>
    <t>a</t>
  </si>
  <si>
    <t>b</t>
  </si>
  <si>
    <t>c</t>
  </si>
  <si>
    <t>4 = 1 - 2 - 3</t>
  </si>
  <si>
    <t>A.1. Neinvestiční dotace celkem</t>
  </si>
  <si>
    <t>v tom:</t>
  </si>
  <si>
    <t>Výsadba melioračních a zpevňujících dřevin</t>
  </si>
  <si>
    <t>Činnost odborného lesního hospodáře</t>
  </si>
  <si>
    <t>A.4. Dotace a  návratné finanční výpomoci celkem
    (A.1. + A.2. + A.3.)</t>
  </si>
  <si>
    <t>Vysvětlivky:</t>
  </si>
  <si>
    <t>ve sloupci a) se vyplňují údaje jen u dotací kapitoly Všeobecná pokladní správa a kapitoly Operace státních finančních aktiv</t>
  </si>
  <si>
    <t>ve sloupci c) jednotlivým titulem se rozumí stanovený účel, na který byla poskytnuta dotace nebo návratná finanční výpomoc</t>
  </si>
  <si>
    <t>sloupec 1 - uvádí se výše dotace a návratné finanční výpomoci převedené poskytovatelem na účet příjemce nebo čerpaná příjemcem z výdajového rozpočtového účtu do výše limitu stanoveného poskytovatelem do 31.12.2…,</t>
  </si>
  <si>
    <t>sloupec 2 - vyplňuje se  pokud příjemce provedl vratku dotace nebo návratné finanční výpomoci, případně její části již v průběhu roku, za který se provádí finanční vypořádání, zpět na výdajový  účet poskytovatele</t>
  </si>
  <si>
    <t>sloupec 3 - uvádí se  výše skutečně použitých prostředků z poskytnuté dotace nebo návratné finanční výpomoci k 31.12.2…</t>
  </si>
  <si>
    <t>Číslo pol.</t>
  </si>
  <si>
    <t>Název položky</t>
  </si>
  <si>
    <t xml:space="preserve">Schválený rozpočet 2006            </t>
  </si>
  <si>
    <t>Upravené příjmy                   po RMO                                  27. 12. 2006</t>
  </si>
  <si>
    <t>Skutečnost                        k 31. 12. 2006</t>
  </si>
  <si>
    <t>% plnění</t>
  </si>
  <si>
    <t>Poznámka - vztahuje se k upravenému rozpočtu</t>
  </si>
  <si>
    <t>daň z příjmů fyz. osob ze závislé činnosti</t>
  </si>
  <si>
    <t>daň z příjmů fyz. osob ze samost. výděl. činnosti</t>
  </si>
  <si>
    <t>daň z příjmů fyz. osob z kapitálových výnosů</t>
  </si>
  <si>
    <t>zrušené daně, jejich předmětem je příjem fyz. osob</t>
  </si>
  <si>
    <t>daň z příjmů práv. osob</t>
  </si>
  <si>
    <t>daň z příjmů práv. osob za obce</t>
  </si>
  <si>
    <t>daň z přidané hodnoty</t>
  </si>
  <si>
    <t>daň z nemovitostí</t>
  </si>
  <si>
    <t>daně celkem</t>
  </si>
  <si>
    <t>poplatky za znečišťování ovzduší</t>
  </si>
  <si>
    <t xml:space="preserve">příjem prostřednictvím SR </t>
  </si>
  <si>
    <t>odvody za odnětí půdy ze ZPF</t>
  </si>
  <si>
    <t>jednorázový, neopakující se příjem prostřednictvím SR</t>
  </si>
  <si>
    <t>poplatky za odnětí pozemků plnění funkcí lesa</t>
  </si>
  <si>
    <t>poplatek za likvidaci komunálního odpadu</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</si>
  <si>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</si>
  <si>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</si>
  <si>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</si>
  <si>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</si>
  <si>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</si>
  <si>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</si>
  <si>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</si>
  <si>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místní poplatek za provozovaný výherní hrací automat</t>
  </si>
  <si>
    <t>zrušené místní poplatky</t>
  </si>
  <si>
    <t>odvod výtěžku z provozování loterií</t>
  </si>
  <si>
    <t xml:space="preserve">odvod části výtěžku z VHP </t>
  </si>
  <si>
    <t xml:space="preserve">odvod části výtěžku z VHP - org. 1000   - ve výdajích určeno na veřejně prospěšné účely                                                                                (firma ENDL + K a. s. 1.000.000,-- Kč; firma Vallota, s. r. o. 653.033,-- Kč) </t>
  </si>
  <si>
    <t>správní poplatky</t>
  </si>
  <si>
    <t>výherní hrací přístroje, z toho 50 % odvod do státního rozpočtu</t>
  </si>
  <si>
    <t>poplatky celkem</t>
  </si>
  <si>
    <t>Celkem tř. 1 - DAŇOVÉ PŘÍJMY</t>
  </si>
  <si>
    <t>příjmy z poskytování služeb a výrobků</t>
  </si>
  <si>
    <t xml:space="preserve">příjmy z jeslí                                                                                             </t>
  </si>
  <si>
    <t>Azylový dům</t>
  </si>
  <si>
    <t xml:space="preserve">Domov pro ženy a matky s dětmi                                                            </t>
  </si>
  <si>
    <t>tržba za kopírování na veřejné kopírce na Hynaisově ulici</t>
  </si>
  <si>
    <t>odbor koncepce a rozvoje za CD cenových map a prodej projektové dokumentace</t>
  </si>
  <si>
    <t>platby občanů za používání internetu</t>
  </si>
  <si>
    <t>poplatky za školení - projekt "Přírodě Olomouckého kraje" - odbor vn. vztahů a informací</t>
  </si>
  <si>
    <t>Krajský úřad Olomouckého kraje za monitoring ochrany ovzduší (odbor životního prostředí)</t>
  </si>
  <si>
    <t>frima Telefonica 02 za aktualizaci digit. techn. mapy</t>
  </si>
  <si>
    <t>příjmy z prodeje zboží</t>
  </si>
  <si>
    <t>odb. soc. služeb a zdravotnictví - příjmy z prodeje tiskopisů receptů</t>
  </si>
  <si>
    <t>ostatní příjmy z vlastní činnosti</t>
  </si>
  <si>
    <t>za poskytování informací dle zákona č. 106/1999 Sb.</t>
  </si>
  <si>
    <t>odvody příspěvkových organizací</t>
  </si>
  <si>
    <t>odvod ZŠ Dr. M. Horákové a MŠ Rožňavská v rámci finančního vypořádání hospodaření roku 2005</t>
  </si>
  <si>
    <t>Moravské divadlo: 2.332.138,91 Kč odvod v rámci finančního vypořádání hospodaření roku 2005; 3.881.083,-- Kč odvod z investičního fondu na krytí ztráty</t>
  </si>
  <si>
    <t>příjmy z pronájmu movitých věcí</t>
  </si>
  <si>
    <t>DPMO, a. s. za pronájem tramvají (v rámci akce "Rozvoj MHD Olomouc")</t>
  </si>
  <si>
    <t>příjmy z úroků</t>
  </si>
  <si>
    <t>příjmy z podílů na zisku a dividend</t>
  </si>
  <si>
    <t>dividendy firmy OLTERM &amp; TD Olomouc, a. s.</t>
  </si>
  <si>
    <t>dividendy firmy Dalkia</t>
  </si>
  <si>
    <t>přijaté sankční platby</t>
  </si>
  <si>
    <t>ostatní pokuty, z toho:</t>
  </si>
  <si>
    <t>org. 03 - odbor koncepce a rozvoje - pokuty blokové ve správním řízení</t>
  </si>
  <si>
    <t>org. 30 - živnost. odbor ve správním řízení</t>
  </si>
  <si>
    <t>org. 303 - živnost. odbor - blokové pokuty</t>
  </si>
  <si>
    <t>bez org. - zasílané z Finačního úřadu a další v hotovosti</t>
  </si>
  <si>
    <t>org. 60 - dopravní přestupky ve správním řízení</t>
  </si>
  <si>
    <t>org. 20 - přestupkové odd. doprava - ve správním řízení</t>
  </si>
  <si>
    <t>org. 70 - přestupkové odd. MmOl - ve správním řízení</t>
  </si>
  <si>
    <t>org. 71 - přestupkové odd. MmOl - pořádkové ve správním řízení</t>
  </si>
  <si>
    <t>org. 701 - odbor správy - evidence obyvatel</t>
  </si>
  <si>
    <t>org. 42 - odbor ochrany (úsek obrany)</t>
  </si>
  <si>
    <t xml:space="preserve">org. 50 - stavební odbor - ve správním řízení </t>
  </si>
  <si>
    <t xml:space="preserve">org. 8 - odbor agendy řidičů a motor. vozidel   </t>
  </si>
  <si>
    <t>Městská policie, z toho:</t>
  </si>
  <si>
    <t>org. 80 - v hotovosti</t>
  </si>
  <si>
    <t>org. 999 - "botičky" dobíhající z minul. let</t>
  </si>
  <si>
    <t>životní prostředí, z toho:</t>
  </si>
  <si>
    <t>org. 40 - ve správním řízení</t>
  </si>
  <si>
    <t>org. 41 - pořádkové</t>
  </si>
  <si>
    <t>org. 401 - dopravní přestupky</t>
  </si>
  <si>
    <t>org. 100 - TSMO, a. s.</t>
  </si>
  <si>
    <t>ostatní přijaté vratky transferů</t>
  </si>
  <si>
    <t>vratky sociálních dávek</t>
  </si>
  <si>
    <t xml:space="preserve">od různých subjektů - prostředky poskytnuté v minulých rozpočtových obdobích </t>
  </si>
  <si>
    <t>projekt EUROPE DIRECT (vratka na zvláštní účet - z roku 2005)</t>
  </si>
  <si>
    <t>příjmy z prodeje krátkodob. a dlouhodob. majetku</t>
  </si>
  <si>
    <t>firma Binar za odkup movitých věcí</t>
  </si>
  <si>
    <t>přijaté neinvestiční dary</t>
  </si>
  <si>
    <t>přijaté pojistné náhrady</t>
  </si>
  <si>
    <t>pojišťovna Kooperativa, a. s. na řešení škod, vzniklých povodní (3.133.686,-- Kč pro SLMO a 1.800.000,-- Kč                                                                   pro TSMO, a. s.)</t>
  </si>
  <si>
    <t>přijaté nekapitálové příspěvky a náhrady</t>
  </si>
  <si>
    <t>vymožené výživné</t>
  </si>
  <si>
    <t>platby PČR a VP ČR za dopravu pracovníků MHD</t>
  </si>
  <si>
    <t>tržby IDOS od obcí a obchodních center dle smluv</t>
  </si>
  <si>
    <t xml:space="preserve">např. vratky přeplatků záloh z minulých let za energie apod. (v tom 150.000,-- Kč od České pošty, s. p. vratka bonusu frankovacího stroje z r. 2005; 105.270,-- Kč dobropis ČEZ Prodej s. r. o.) </t>
  </si>
  <si>
    <t>výnosy soudních řízení - vymáhání pokut</t>
  </si>
  <si>
    <t>příjmy od firmy EKO-KOM (odpadové hospodářství)</t>
  </si>
  <si>
    <t>náhrady za zničené vodoměry (SMV, a. s.)</t>
  </si>
  <si>
    <t>z toho 403.291,68 Kč Úřad vlády ČR na projekt EUROPE DIRECT (zvláštní účet)</t>
  </si>
  <si>
    <t>firma CK Pressburg s. r. o. na projekt "Webové stránky Business to Business"</t>
  </si>
  <si>
    <t>neidentifikované příjmy</t>
  </si>
  <si>
    <t>mylné platby - nerozpočtují se</t>
  </si>
  <si>
    <t>ostatní nedaňové příjmy j. n.</t>
  </si>
  <si>
    <t xml:space="preserve">nahodilé příjmy z minulých let - neopakující se platby (vratky sankcí, soc. pohřby apod.; v tom 10.000,-- Kč OKR za prodej PD bytového domu; 18.966,-- Kč náhrada viníka za poškození majetku města) </t>
  </si>
  <si>
    <t>Krajský úřad - mzdové náklady euromanažera</t>
  </si>
  <si>
    <t>zadávací dokumentace pro výběrové řízení na pojištění majetku města</t>
  </si>
  <si>
    <t>org. 4624 - akce "Zadávací projektová dokumentace - hromadná"</t>
  </si>
  <si>
    <t>městský ples - vstupné</t>
  </si>
  <si>
    <t>příjmy z úhrad dobývacího prostoru</t>
  </si>
  <si>
    <t>splátky půjčených prostředků od obyvatelstva</t>
  </si>
  <si>
    <t>splátka paní Kapustové</t>
  </si>
  <si>
    <t>od zaměstnatnců magistrátu do sociálního fondu</t>
  </si>
  <si>
    <t>od obyvatelstva - půjčky ze sociálního fondu bývalého Okresního úřadu</t>
  </si>
  <si>
    <t>splátka paní Thurlingové (zaměstnance zrušené ZŠ Na Hradě)</t>
  </si>
  <si>
    <t>FRB klasický a povodňový</t>
  </si>
  <si>
    <t>Celkem tř. 2 - NEDAŇOVÉ PŘÍJMY</t>
  </si>
  <si>
    <t>příjmy z prodeje ostatních nemovitostí a jejich částí</t>
  </si>
  <si>
    <t>před zavedením HČ</t>
  </si>
  <si>
    <t>přijaté dary na pořízení dlouhodobého majetku</t>
  </si>
  <si>
    <t xml:space="preserve">firma Timken ČR, s. r. o. na rozšíření kapacity Domov pro ženy a matky s dětmi (firma poukázala i částku 1,5 tis. Kč ke krytí bankovních poplatků, zmíněná částka však není v rozpočtu tohoto investičního daru zohledněna) </t>
  </si>
  <si>
    <t>Nadace Bezpečná Olomouc na mobilní kamerový systém</t>
  </si>
  <si>
    <t>přijaté příspěvky na pořízení dlouhodobého majetku</t>
  </si>
  <si>
    <t>UP Olomouc na spolufinancování akce "Průmyslová zóna Šlechtitelů a podnikatelský inkubátor" - zvl. účet</t>
  </si>
  <si>
    <t>Gymnázium Čajkovského na stavební úpravy budovy (bezbariérové vstupy pro imobilního studenta)</t>
  </si>
  <si>
    <t>Celkem tř. 3 - KAPITÁLOVÉ PŘÍJMY</t>
  </si>
  <si>
    <t>neinv. přijaté dotace z všeob. pokl. správy SR</t>
  </si>
  <si>
    <t>neinv. dot. přij. v rámci souhr. dotač. vztahu</t>
  </si>
  <si>
    <t xml:space="preserve">výkon st. správy 82.263.742,-- Kč; školství 14.348.569,-- Kč; soc. dávky 178.000.000,-- Kč; Knihova města Olomouce 16.269.000,-- Kč </t>
  </si>
  <si>
    <t>neinvestiční příjaté dotace ze státních fondů</t>
  </si>
  <si>
    <t>ostatní neinv. přijaté dotace ze státního rozpočtu</t>
  </si>
  <si>
    <t>neinvestiční dotace od obcí</t>
  </si>
  <si>
    <t>školství, platby obcí za cizí žáky</t>
  </si>
  <si>
    <t>platby od obecních úřadů za výkon státní správy</t>
  </si>
  <si>
    <t>obec Dlouhé Stráně na likvidaci škod po povodni (darovací smlouva), ZJ 028</t>
  </si>
  <si>
    <t>neinvestiční přijaté dotace od krajů</t>
  </si>
  <si>
    <t>převod z vlastní hospodářské činnosti</t>
  </si>
  <si>
    <t>převody z ostatních vlastních fondů (depozit)</t>
  </si>
  <si>
    <t>investiční přijaté dotace za státních fondů</t>
  </si>
  <si>
    <t>ostatní investiční příjaté dotace ze státního rozpočtu</t>
  </si>
  <si>
    <t>investiční převody z Národního fondu</t>
  </si>
  <si>
    <t>investiční přijaté dotace od krajů</t>
  </si>
  <si>
    <t>převody o ostatních vlastních fondů</t>
  </si>
  <si>
    <t>odvod SNO, a. s. - úhrady zájemců o přednostní přidělení bytů či přednostní podpis nájemní smlouvy (převážně byty po neplatičích)  - příjem FRB</t>
  </si>
  <si>
    <t>inv. přijaté dotace z všeob. pokl. správy SR</t>
  </si>
  <si>
    <t>investiční příjaté dotace ze státních fondů</t>
  </si>
  <si>
    <t>ostatní investiční přijaté dotace ze státního rozpočtu</t>
  </si>
  <si>
    <t xml:space="preserve"> </t>
  </si>
  <si>
    <t>investiční příjaté dotace od obcí</t>
  </si>
  <si>
    <t>Celkem tř. 4 - PŘIJATÉ DOTACE</t>
  </si>
  <si>
    <t>PŘÍJMY CELKEM</t>
  </si>
  <si>
    <r>
      <t>ÚZ 98064</t>
    </r>
    <r>
      <rPr>
        <sz val="8"/>
        <rFont val="Arial Narrow"/>
        <family val="2"/>
      </rPr>
      <t xml:space="preserve"> MF ČR na "Program prevence kriminality v r. 2006"</t>
    </r>
  </si>
  <si>
    <r>
      <t>ÚZ 98071</t>
    </r>
    <r>
      <rPr>
        <sz val="8"/>
        <rFont val="Arial Narrow"/>
        <family val="2"/>
      </rPr>
      <t xml:space="preserve"> na volby do Poslanecké sněmovny Parlamentu ČR</t>
    </r>
  </si>
  <si>
    <r>
      <t>ÚZ 98187</t>
    </r>
    <r>
      <rPr>
        <sz val="8"/>
        <rFont val="Arial Narrow"/>
        <family val="2"/>
      </rPr>
      <t xml:space="preserve"> MF ČR na volby do zastupitelstev obcí</t>
    </r>
  </si>
  <si>
    <r>
      <t xml:space="preserve">ÚZ 98116 </t>
    </r>
    <r>
      <rPr>
        <sz val="8"/>
        <rFont val="Arial Narrow"/>
        <family val="2"/>
      </rPr>
      <t>MF ČR 3.485.480,-- Kč na zabezpečení přípravy pro vydávání cestovních dokladů s biometrickými údaji; 977.861,-- Kč na výkon dopravně správní agendy (přijetí zákona č. 411/2005 Sb.)</t>
    </r>
  </si>
  <si>
    <r>
      <t>ÚZ 98216</t>
    </r>
    <r>
      <rPr>
        <sz val="8"/>
        <rFont val="Arial Narrow"/>
        <family val="2"/>
      </rPr>
      <t xml:space="preserve"> MF ČR na sociálně právní ochranu dětí</t>
    </r>
  </si>
  <si>
    <r>
      <t>ÚZ 90103</t>
    </r>
    <r>
      <rPr>
        <sz val="8"/>
        <rFont val="Arial Narrow"/>
        <family val="2"/>
      </rPr>
      <t xml:space="preserve"> SFŽP ČR na ochranu ovzduší - OŽP - ekologická likvidace ledniček (smluvní podpora 12620282)</t>
    </r>
  </si>
  <si>
    <r>
      <t>ÚZ 92467</t>
    </r>
    <r>
      <rPr>
        <sz val="8"/>
        <rFont val="Arial Narrow"/>
        <family val="2"/>
      </rPr>
      <t xml:space="preserve"> SFRB ČR nenávratné povodňové příspěvky na opravy bytů - povodeň 2006</t>
    </r>
  </si>
  <si>
    <r>
      <t xml:space="preserve">ÚZ 13101 </t>
    </r>
    <r>
      <rPr>
        <sz val="8"/>
        <rFont val="Arial Narrow"/>
        <family val="2"/>
      </rPr>
      <t>Úřad práce na aktivní politiku zaměstnanosti (z toho 9.450,-- Kč pro ZOO Sv. Kopeček)</t>
    </r>
  </si>
  <si>
    <r>
      <t xml:space="preserve">ÚZ 29004 </t>
    </r>
    <r>
      <rPr>
        <sz val="8"/>
        <rFont val="Arial Narrow"/>
        <family val="2"/>
      </rPr>
      <t>MZe ČR na výsadbu minimálního podílu melioračních a zpevňujících dřevin</t>
    </r>
  </si>
  <si>
    <r>
      <t>ÚZ 29008</t>
    </r>
    <r>
      <rPr>
        <sz val="8"/>
        <rFont val="Arial Narrow"/>
        <family val="2"/>
      </rPr>
      <t xml:space="preserve"> MZe ČR na činnost odborného lesního hospodáře (z toho 29.078,-- Kč pro SLMO)</t>
    </r>
  </si>
  <si>
    <r>
      <t xml:space="preserve">ÚZ 004428 </t>
    </r>
    <r>
      <rPr>
        <sz val="8"/>
        <rFont val="Arial Narrow"/>
        <family val="2"/>
      </rPr>
      <t>Úřad vlády na akci "Podpora terénní sociální práce na rok 2006"</t>
    </r>
  </si>
  <si>
    <r>
      <t xml:space="preserve">ÚZ 17464 </t>
    </r>
    <r>
      <rPr>
        <sz val="8"/>
        <rFont val="Arial Narrow"/>
        <family val="2"/>
      </rPr>
      <t>MMR ČR 2.047.595,-- Kč na úklid a odstranění odpadu po povodni (odbor životního prostředí);                                                 567.238,-- Kč na zajištění obnovy normálního chodu obce (odbor ochrany)</t>
    </r>
  </si>
  <si>
    <r>
      <t>ÚZ 17465</t>
    </r>
    <r>
      <rPr>
        <sz val="8"/>
        <rFont val="Arial Narrow"/>
        <family val="2"/>
      </rPr>
      <t xml:space="preserve"> MMR ČR na dočasné náhradní ubytování (OŠK)</t>
    </r>
  </si>
  <si>
    <r>
      <t xml:space="preserve">ÚZ 34352 </t>
    </r>
    <r>
      <rPr>
        <sz val="8"/>
        <rFont val="Arial Narrow"/>
        <family val="2"/>
      </rPr>
      <t>MK ČR 2.640 tis. Kč pro Moravské divadlo; 540 tis. Kč pro Moravskou filharmonii</t>
    </r>
  </si>
  <si>
    <r>
      <t xml:space="preserve">ÚZ 22460 </t>
    </r>
    <r>
      <rPr>
        <sz val="8"/>
        <rFont val="Arial Narrow"/>
        <family val="2"/>
      </rPr>
      <t>MPO ČR na "Registr živnostenského podnikání"</t>
    </r>
  </si>
  <si>
    <r>
      <t xml:space="preserve">ÚZ 15065 </t>
    </r>
    <r>
      <rPr>
        <sz val="8"/>
        <rFont val="Arial Narrow"/>
        <family val="2"/>
      </rPr>
      <t>MŽP ČR pro ZOO Sv. Kopeček na chov ohrožených druhů</t>
    </r>
  </si>
  <si>
    <r>
      <t>ÚZ 15434</t>
    </r>
    <r>
      <rPr>
        <sz val="8"/>
        <rFont val="Arial Narrow"/>
        <family val="2"/>
      </rPr>
      <t xml:space="preserve"> MŽP ČR na projekt "Informační centra environmentální výchovy, vzdělávní a osvěty"</t>
    </r>
  </si>
  <si>
    <r>
      <t>ÚZ 34054</t>
    </r>
    <r>
      <rPr>
        <sz val="8"/>
        <rFont val="Arial Narrow"/>
        <family val="2"/>
      </rPr>
      <t xml:space="preserve"> MK ČR na akci "Program regenerace MPR a MPZ v roce 2006"</t>
    </r>
  </si>
  <si>
    <r>
      <t>ÚZ14336 MV ČR</t>
    </r>
    <r>
      <rPr>
        <sz val="8"/>
        <rFont val="Arial Narrow"/>
        <family val="2"/>
      </rPr>
      <t xml:space="preserve"> na zajištění bydlení krajanů (350 tis. Kč bydlení; 190 tis. Kč rozvoj obce)</t>
    </r>
  </si>
  <si>
    <r>
      <t xml:space="preserve">ÚZ 00550 </t>
    </r>
    <r>
      <rPr>
        <sz val="8"/>
        <rFont val="Arial Narrow"/>
        <family val="2"/>
      </rPr>
      <t>- pro SLMO na hospodaření v lesích</t>
    </r>
  </si>
  <si>
    <r>
      <t xml:space="preserve">ÚZ 00009 </t>
    </r>
    <r>
      <rPr>
        <sz val="8"/>
        <rFont val="Arial Narrow"/>
        <family val="2"/>
      </rPr>
      <t>na věcné vybavení jednotky JSDH</t>
    </r>
  </si>
  <si>
    <r>
      <t xml:space="preserve">ÚZ 00204 - </t>
    </r>
    <r>
      <rPr>
        <sz val="8"/>
        <rFont val="Arial Narrow"/>
        <family val="2"/>
      </rPr>
      <t>pro Knihovnu města Olomouce na plnění regionální funkce knihovny</t>
    </r>
  </si>
  <si>
    <r>
      <t>ÚZ 00501</t>
    </r>
    <r>
      <rPr>
        <sz val="8"/>
        <rFont val="Arial Narrow"/>
        <family val="2"/>
      </rPr>
      <t xml:space="preserve"> na projekt EUROPE DIRECT v roce 2006</t>
    </r>
  </si>
  <si>
    <r>
      <t xml:space="preserve">ÚZ 1 </t>
    </r>
    <r>
      <rPr>
        <sz val="8"/>
        <rFont val="Arial Narrow"/>
        <family val="2"/>
      </rPr>
      <t>pro Moravskou filharmonii 1,3 mil. Kč; 1,5 mil. Kč pro Moravské divadlo</t>
    </r>
  </si>
  <si>
    <r>
      <t>ÚZ 00200</t>
    </r>
    <r>
      <rPr>
        <sz val="8"/>
        <rFont val="Arial Narrow"/>
        <family val="2"/>
      </rPr>
      <t xml:space="preserve"> - Moravská filharmonie 334 tis. Kč; Moravské divadlo 1.532 tis. Kč</t>
    </r>
  </si>
  <si>
    <r>
      <t xml:space="preserve">bez ÚZ </t>
    </r>
    <r>
      <rPr>
        <sz val="8"/>
        <rFont val="Arial Narrow"/>
        <family val="2"/>
      </rPr>
      <t>pro JSDH (na uskutečněný zásah a na odbornou přípravu)</t>
    </r>
  </si>
  <si>
    <r>
      <t>ÚZ 00327</t>
    </r>
    <r>
      <rPr>
        <sz val="8"/>
        <rFont val="Arial Narrow"/>
        <family val="2"/>
      </rPr>
      <t xml:space="preserve"> Moravskoslezský kraj pro SLMO na hospodaření v lesích (ZJ 028)</t>
    </r>
  </si>
  <si>
    <r>
      <t>ÚZ 00009</t>
    </r>
    <r>
      <rPr>
        <sz val="8"/>
        <rFont val="Arial Narrow"/>
        <family val="2"/>
      </rPr>
      <t xml:space="preserve"> na likvidaci kalamitního výskytu komárů</t>
    </r>
  </si>
  <si>
    <r>
      <t xml:space="preserve">ÚZ 98069 </t>
    </r>
    <r>
      <rPr>
        <sz val="8"/>
        <rFont val="Arial Narrow"/>
        <family val="2"/>
      </rPr>
      <t>na zabezpečení přípravy pro vydávání cestovních dokladů s biometrickými údaji</t>
    </r>
  </si>
  <si>
    <r>
      <t xml:space="preserve">ÚZ 90102 </t>
    </r>
    <r>
      <rPr>
        <sz val="8"/>
        <rFont val="Arial Narrow"/>
        <family val="2"/>
      </rPr>
      <t>SFŽP ČR na akci "Rekonstrukce a dobudování stokové sítě města - ISPA I" (smluvní podpora č. 00902103)</t>
    </r>
  </si>
  <si>
    <r>
      <t>ÚZ 90106</t>
    </r>
    <r>
      <rPr>
        <sz val="8"/>
        <rFont val="Arial Narrow"/>
        <family val="2"/>
      </rPr>
      <t xml:space="preserve"> SFŽP ČR na akci "Středisko ekologické výchovy Sluňákov" (smluvní podpora č. 22770361)</t>
    </r>
  </si>
  <si>
    <r>
      <t xml:space="preserve">ÚZ 17774 </t>
    </r>
    <r>
      <rPr>
        <sz val="8"/>
        <rFont val="Arial Narrow"/>
        <family val="2"/>
      </rPr>
      <t>MMR ČR na akci "Bělidla - propoj. komunikace v trase severního spoje" (org. 41921;                                            č. projektu CZ2003/005-601.08.06-0003)</t>
    </r>
  </si>
  <si>
    <r>
      <t xml:space="preserve">ÚZ 17774 </t>
    </r>
    <r>
      <rPr>
        <sz val="8"/>
        <rFont val="Arial Narrow"/>
        <family val="2"/>
      </rPr>
      <t>MMR ČR na akci "Rekonstrukce lávky pro pěší - Smetanovy sady" (org. 9361;                                            evidenční číslo ISPOROFIN 2175121032)</t>
    </r>
  </si>
  <si>
    <r>
      <t xml:space="preserve">ÚZ 17774 </t>
    </r>
    <r>
      <rPr>
        <sz val="8"/>
        <rFont val="Arial Narrow"/>
        <family val="2"/>
      </rPr>
      <t>MMR ČR na akci "Rekonstrukce komunik. a inž. sítí v areálu kasáren P. Holého" (org. 41761;                                            evidenční číslo ISOPROFIN 2175122037)</t>
    </r>
  </si>
  <si>
    <r>
      <t xml:space="preserve">ÚZ 34668 </t>
    </r>
    <r>
      <rPr>
        <sz val="8"/>
        <rFont val="Arial Narrow"/>
        <family val="2"/>
      </rPr>
      <t>MK ČR na akci "Fontána Sv. J. Sarkandra", org. 4488 (číslo ISOPROFIN 2342120107) - limitní účet</t>
    </r>
  </si>
  <si>
    <r>
      <t>ÚZ 17778</t>
    </r>
    <r>
      <rPr>
        <sz val="8"/>
        <rFont val="Arial Narrow"/>
        <family val="2"/>
      </rPr>
      <t xml:space="preserve"> MMR ČR</t>
    </r>
    <r>
      <rPr>
        <b/>
        <sz val="8"/>
        <rFont val="Arial Narrow"/>
        <family val="2"/>
      </rPr>
      <t xml:space="preserve"> </t>
    </r>
    <r>
      <rPr>
        <sz val="8"/>
        <rFont val="Arial Narrow"/>
        <family val="2"/>
      </rPr>
      <t>na akci "Rozvoj komunikačních a informačních technologií"</t>
    </r>
  </si>
  <si>
    <r>
      <t xml:space="preserve">ÚZ 14671 </t>
    </r>
    <r>
      <rPr>
        <sz val="8"/>
        <rFont val="Arial Narrow"/>
        <family val="2"/>
      </rPr>
      <t>MV ČR na akci "Olomouc - Chválkovice - dopravní automobil" - limitní účet;  po dohodě s ministerstvem se akce uskuteční až v roce 2007 (dodavatel nebyl schopen dodat do konce r. 2006 kompletní automobil)</t>
    </r>
  </si>
  <si>
    <r>
      <t>ÚZ 17722</t>
    </r>
    <r>
      <rPr>
        <sz val="8"/>
        <rFont val="Arial Narrow"/>
        <family val="2"/>
      </rPr>
      <t xml:space="preserve"> MMR ČR na akci "Regenerace panelového sídliště Úzké Díly - IV. etapa - RC 14" - limitní účet</t>
    </r>
  </si>
  <si>
    <r>
      <t xml:space="preserve">ÚZ 17778 </t>
    </r>
    <r>
      <rPr>
        <sz val="8"/>
        <rFont val="Arial Narrow"/>
        <family val="2"/>
      </rPr>
      <t>MMR ČR na akci "Rozvoj MHD v Olomouci" org. 4326</t>
    </r>
  </si>
  <si>
    <r>
      <t>ÚZ 34668</t>
    </r>
    <r>
      <rPr>
        <sz val="8"/>
        <rFont val="Arial Narrow"/>
        <family val="2"/>
      </rPr>
      <t xml:space="preserve"> MK ČR na akci "Moravské divadlo - rekonstrukce budovy Tř. Svobody 33 - část D" limitní účet</t>
    </r>
  </si>
  <si>
    <r>
      <t>ÚZ 34668</t>
    </r>
    <r>
      <rPr>
        <sz val="8"/>
        <rFont val="Arial Narrow"/>
        <family val="2"/>
      </rPr>
      <t xml:space="preserve"> MK ČR na akci "Moravské divadlo - rekonstrukce budovy Tř. Svobody 33 - část C" limitní účet</t>
    </r>
  </si>
  <si>
    <r>
      <t>ÚZ15796</t>
    </r>
    <r>
      <rPr>
        <sz val="8"/>
        <rFont val="Arial Narrow"/>
        <family val="2"/>
      </rPr>
      <t xml:space="preserve"> MŽP ČR na akci "Rekonstrukce a dobudování stokové sítě města - ISPA"</t>
    </r>
  </si>
  <si>
    <r>
      <t xml:space="preserve">ÚZ 95757 </t>
    </r>
    <r>
      <rPr>
        <sz val="8"/>
        <rFont val="Arial Narrow"/>
        <family val="2"/>
      </rPr>
      <t>na akci "Rekonstrukce a dobudování stokové sítě - ISPA" (č. projektu 2001/CZ/16/P/PE/008)</t>
    </r>
  </si>
  <si>
    <r>
      <t>ÚZ 95739</t>
    </r>
    <r>
      <rPr>
        <sz val="8"/>
        <rFont val="Arial Narrow"/>
        <family val="2"/>
      </rPr>
      <t xml:space="preserve"> na akci "Rekonstrukce lávky pro pěší - Smetanovy sady" (org. 9362;                                                                                   č. projektu CZ2003/005-601.08.07-0063)</t>
    </r>
  </si>
  <si>
    <r>
      <t>ÚZ 95739</t>
    </r>
    <r>
      <rPr>
        <sz val="8"/>
        <rFont val="Arial Narrow"/>
        <family val="2"/>
      </rPr>
      <t xml:space="preserve"> na akci "Rekonstrukce komunikace v areálu kasáren P. Holého" (org. 41762;                                                                                 č. projektu CZ2003/005-601.08.06-0006)</t>
    </r>
  </si>
  <si>
    <r>
      <t>ÚZ 95739</t>
    </r>
    <r>
      <rPr>
        <sz val="8"/>
        <rFont val="Arial Narrow"/>
        <family val="2"/>
      </rPr>
      <t xml:space="preserve"> na akci "Bělidla - propoj. komunikace v trase severního spoje" (org. 41922;                                                                         č. projektu CZ2003/005-601.08.06-0003)</t>
    </r>
  </si>
  <si>
    <r>
      <t>ÚZ 95738</t>
    </r>
    <r>
      <rPr>
        <sz val="8"/>
        <rFont val="Arial Narrow"/>
        <family val="2"/>
      </rPr>
      <t xml:space="preserve"> na akci "Holice - Šlechtitelů - průmyslová zóna" (20.949.664,24 Kč org. 8701; 21.187.234,49 Kč org. 8702; 3.074.147,20 Kč DPH ke zdrojům ze státniho rozpočtu)</t>
    </r>
  </si>
  <si>
    <r>
      <t>ÚZ 00605</t>
    </r>
    <r>
      <rPr>
        <sz val="8"/>
        <rFont val="Arial Narrow"/>
        <family val="2"/>
      </rPr>
      <t xml:space="preserve"> na cyklostezky</t>
    </r>
  </si>
  <si>
    <r>
      <t xml:space="preserve">ÚZ 00019 </t>
    </r>
    <r>
      <rPr>
        <sz val="8"/>
        <rFont val="Arial Narrow"/>
        <family val="2"/>
      </rPr>
      <t>na zpřístupnění prostor Gymnázia Čajkovského pro imobilního studenta</t>
    </r>
  </si>
  <si>
    <r>
      <t xml:space="preserve">bez ÚZ </t>
    </r>
    <r>
      <rPr>
        <sz val="8"/>
        <rFont val="Arial Narrow"/>
        <family val="2"/>
      </rPr>
      <t>na zpřístupnění prostor Gymnázia Čajkovského pro imobilního studenta</t>
    </r>
  </si>
  <si>
    <r>
      <t xml:space="preserve">SNO, a. s. 13.793 tis. Kč; MmOl 109.143 tis. Kč; OLTERM &amp; TD, a. s. (dle smlouvy, platné do r. 2019) 500 tis. Kč; SLMO 240 tis. Kč; SMV, a. s. 29.049 tis. Kč                                                                                                                                                              </t>
    </r>
    <r>
      <rPr>
        <b/>
        <sz val="8"/>
        <rFont val="Arial Narrow"/>
        <family val="2"/>
      </rPr>
      <t>skutečnost 2006:</t>
    </r>
    <r>
      <rPr>
        <sz val="8"/>
        <rFont val="Arial Narrow"/>
        <family val="2"/>
      </rPr>
      <t xml:space="preserve"> SNO, a. s. 20.000 tis. Kč; MmOl 109.143 tis. Kč;  OLTERM &amp; TD, a. s. 500 tis. Kč;                                                              SLMO 240 tis. Kč; SMV, a. s. 29.049 tis. Kč    </t>
    </r>
  </si>
  <si>
    <r>
      <t xml:space="preserve">staveb. odbor 1.400 tis. Kč; odbor život. prostředí 610 tis. Kč; živnost. odbor 3.459 tis. Kč; odbor soc. pomoci 15 tis. Kč; odbor správy 8.516 tis. Kč (matrika, odd. cest. dokladů, obč. průkazů a EO); odbor agendy řidičů a motor. vozidel                                  10.360 tis. Kč                                                                                                                                                       </t>
    </r>
    <r>
      <rPr>
        <b/>
        <sz val="8"/>
        <rFont val="Arial Narrow"/>
        <family val="2"/>
      </rPr>
      <t>skutečnost 2006</t>
    </r>
    <r>
      <rPr>
        <sz val="8"/>
        <rFont val="Arial Narrow"/>
        <family val="2"/>
      </rPr>
      <t xml:space="preserve"> (zaokrouhlená na tis. Kč): staveb. odbor 1.704 tis. Kč; odbor život. prostředí 965 tis. Kč; živnost. odbor 4.183 tis. Kč; odbor soc. pomoci 15 tis. Kč; odbor správy + EO 8.695 tis. Kč; odbor agendy řidičů a motor. vozidel 16.034 tis. Kč           </t>
    </r>
  </si>
  <si>
    <t xml:space="preserve"> 265.660,97 Kč město Luzern na likvidaci škod po povodni v r. 2006; 10.000,-- Kč Poslanecký klub ČSSD na nápravu škod po povodni; 10.000,-- Kč firma RE GROUP pro účely soutěže BESIP; 25.000,-- Kč Havířovská teplárenská společnost, a. s. na spací pytle pro evakuační středisko                                                                                                                rozdíl upraveného rozpočtu a skutečnosti vznikl v těsném závěru roku, kdy byl dar města Luzern převeden na depozitní účet, z něhož bude čerpán v následujícím období, rozpočet však již nemohl být vzhledem k pozdnímu termínu přesunu upraven </t>
  </si>
  <si>
    <r>
      <t xml:space="preserve">SNO, a. s. 43.677.000,-- Kč; MmOl 241.604.844,-- Kč; SLMO 760.000,-- Kč; SMV, a. s. 91.989.000,-- Kč                                                                    </t>
    </r>
    <r>
      <rPr>
        <b/>
        <sz val="8"/>
        <rFont val="Arial Narrow"/>
        <family val="2"/>
      </rPr>
      <t>skutečnost 2006:</t>
    </r>
    <r>
      <rPr>
        <sz val="8"/>
        <rFont val="Arial Narrow"/>
        <family val="2"/>
      </rPr>
      <t xml:space="preserve"> SNO, a. s. 30.300 tis. Kč; MmOl 290.038 tis. Kč;  SLMO 760 tis. Kč; SMV, a. s. 91.989 tis. Kč    </t>
    </r>
  </si>
  <si>
    <t>převody z depozitu: 1.570.444,10 Kč firma EKO KOM na odpadové hospodářství; 10.000,-- Kč na náhradní výsadbu stromů v parku Výstaviště Flóra Olomouc; 21.371.534,10 Kč vratky státních dotací z r. 2005; 666.500,-- Kč na pořízení změn ÚPnSÚ; 108.000,-- Kč projekt MEMO (OVVI); 61.370,-- Kč náhradní výsadba dřevin (OŽP); 30.000,-- Kč protipovodňová studie (OKR); 934.543,17 Kč pro ZOO Sv. Kopeček na výstavbu kotelny na biomasu (sponzorský dar města Luzern); 56.000,-- Kč Nadace Bezpečná Olomouc; 8.627.207,-- Kč výdaje spojené s reformou státní správy</t>
  </si>
  <si>
    <r>
      <t>ÚZ 14669</t>
    </r>
    <r>
      <rPr>
        <sz val="8"/>
        <rFont val="Arial Narrow"/>
        <family val="2"/>
      </rPr>
      <t xml:space="preserve"> MV ČR na akce "MP - mobilní kamerový systém" 112 tis. Kč a "MP - radar na měření rychlosti"                            450 tis. Kč (limitní účet); ze strany města byly náklady zaplaceny z výdajového (nikoliv z limitního) účtu; de faco tedy nedošlo k čerpání státního zdroje</t>
    </r>
  </si>
  <si>
    <t>obec Samotišky na akci "Chválkovice - Samotišky - cyklostezka"; nedočerpaný zdroj (238.001,81 Kč) byl převeden na depozitní účet, z něho bude v roce 2007 použit na pokračování akce. Ve výkazu, sledovaném na úrovni kraje, však musí korespondovat částka poskytnutá obcí Samotišky s reálně přijatou částkou, připsanou na účet města. Upravený rozpočet byl snížen o přesun na depozit, skutečnost však zůstala na úrovni prvotního příjmu.</t>
  </si>
  <si>
    <t>Název organizace</t>
  </si>
  <si>
    <t>§, položky, org.</t>
  </si>
  <si>
    <t>Schválený rozpočet              2006</t>
  </si>
  <si>
    <t>Změna</t>
  </si>
  <si>
    <t>% čerpání</t>
  </si>
  <si>
    <t>Poznámka</t>
  </si>
  <si>
    <t>ZOO Olomouc</t>
  </si>
  <si>
    <t>3741-5331-1077</t>
  </si>
  <si>
    <t>Moravské divadlo</t>
  </si>
  <si>
    <t>3311-5331-1150</t>
  </si>
  <si>
    <t>Divadlo hudby</t>
  </si>
  <si>
    <t>3311-5331-1160</t>
  </si>
  <si>
    <t>Moravská filharmonie</t>
  </si>
  <si>
    <t>3312-5331-1170</t>
  </si>
  <si>
    <t>Knihovna města Olomouce</t>
  </si>
  <si>
    <t>3314-5331-1180</t>
  </si>
  <si>
    <t>kryto ze zdrojů Ol. kraje; v tom st. dotace Krajského úřadu 2.419.887,- Kč na zajištění region. funkcí knihoven ÚZ 00204</t>
  </si>
  <si>
    <t>Hřbitovy města Olomouce</t>
  </si>
  <si>
    <t>3632-5331-1650</t>
  </si>
  <si>
    <t>v tom 504 tis. Kč opravy 36 válečných hrobů; 350 tis. Kč monitoring a čištění kanalizace Hřbitovů města Olomouce</t>
  </si>
  <si>
    <t>Správa lesů města Olomouce</t>
  </si>
  <si>
    <t>1031-5331-1780</t>
  </si>
  <si>
    <t>CELKEM přísp. organizace</t>
  </si>
  <si>
    <r>
      <t xml:space="preserve">Požadavek na r.      2007                      </t>
    </r>
    <r>
      <rPr>
        <b/>
        <sz val="10"/>
        <rFont val="Arial Narrow"/>
        <family val="2"/>
      </rPr>
      <t>v tis. Kč</t>
    </r>
  </si>
  <si>
    <t>v tom 100.000,- Kč na vydání propagační publikace k 50. výročí založení ZOO,                                       st. dotace MŽP 2.788.137,- Kč ÚZ 15065 na "Program - příspěvek zoolog. zahradám";                                    st. dotace Úřadu práce 9.450,- Kč na aktivní politiku zaměstnanosti ÚZ 13101</t>
  </si>
  <si>
    <t>v tom 2.332.138,91 Kč krytí ztráty roku 2005; účelová neinv. dotace Krajského úřadu 1.532.000,- Kč                      na akce mající regionální rozměr ÚZ 00200, účelová neinv. dotace MK ČR 2.640.000,- Kč na provoz divadla ÚZ 34352, účelová neinv. dotace Krajského úřadu 1.500.000,- Kč na provoz divadla ÚZ 00001; 10.000,- Kč na pokrytí nákladů inscenace Divadla Na zábradlí; 7.381.083,- Kč krytí ztráty hospodaření</t>
  </si>
  <si>
    <t xml:space="preserve">v tom ze zdrojů města účelově určeno na akci MHF "Dvořákova Olomouc" 300 tis. Kč a Mezinárodní varhanní festival 200 tis. Kč; účelová neinv. dotace Krajského úřadu 1.300 tis. Kč na realizaci významných projektů Ol. kraje ÚZ 00001, účelová neinv. dotace Krajského úřadu 334 tis. Kč na akce mající regionální rozměr ÚZ 00200, účelová neinv. dotace MK ČR  540 tis. Kč na provoz Moravské filharmonie ÚZ 34352 </t>
  </si>
  <si>
    <t>v příjmech SMOL z hospodářské činnosti zahrnut nájem ve výši 1 mil. Kč + DPH; st. dotace Krajského úřadu 2.269.206,- Kč na hospodaření v lesích ÚZ 00550; st. dotace MZe ČR 29.078,- Kč na činnost odborného lesního hospodáře ÚZ 29008, 3.133.686- Kč pojist. plnění poj. Kooperativa, a. s. na řešení škod po povodni v r. 2006, dotace Moravskoslezského kraje 25.640,- Kč na hospodaření v lesích ÚZ 327</t>
  </si>
  <si>
    <t>Odbor</t>
  </si>
  <si>
    <t>Paragraf</t>
  </si>
  <si>
    <t>Pol.</t>
  </si>
  <si>
    <t>Organizace</t>
  </si>
  <si>
    <t>Služby</t>
  </si>
  <si>
    <t>Pracovní skupina</t>
  </si>
  <si>
    <t>07 - odbor dopravy</t>
  </si>
  <si>
    <t>TSMO, a. s.</t>
  </si>
  <si>
    <t>opravy komunikací</t>
  </si>
  <si>
    <t>org. 1056: doplatek za r. 2005  8.600.000,-, opravy podchodů 2.000.000,-, 63.994.567,- opravy komunikací</t>
  </si>
  <si>
    <t>skládka materiálu</t>
  </si>
  <si>
    <t>org. 1056</t>
  </si>
  <si>
    <t>podzemní parkoviště</t>
  </si>
  <si>
    <t>výběr parkovného</t>
  </si>
  <si>
    <t>org. 10561</t>
  </si>
  <si>
    <t>zastup. dle mandát. sml.</t>
  </si>
  <si>
    <t>DPMO, a. s.</t>
  </si>
  <si>
    <t>dopravní obslužnost</t>
  </si>
  <si>
    <t>org. 267</t>
  </si>
  <si>
    <t>Connex, a. s.</t>
  </si>
  <si>
    <t>ostatní</t>
  </si>
  <si>
    <t>dotace tisku jízd. řádů</t>
  </si>
  <si>
    <t>smluvní jízdné</t>
  </si>
  <si>
    <t>objížďky, změny jízdních řádů</t>
  </si>
  <si>
    <t>veřejné osvětlení</t>
  </si>
  <si>
    <t>org. 1056 v tom doplatek za r. 2005   400 tis.</t>
  </si>
  <si>
    <t>Celkem odbor dopravy</t>
  </si>
  <si>
    <t>11 - odb. vn. vztahů a informací</t>
  </si>
  <si>
    <t>udržování a opravy inform. systému v přednádražním prostoru</t>
  </si>
  <si>
    <t>kontrola tech. stavu a údržba veř. hřišť</t>
  </si>
  <si>
    <t>org. 1056 - převod z odboru školství - organizační změna schválená 8. 2. 2006</t>
  </si>
  <si>
    <t>Celkem odbor vn. vztahů a inf.</t>
  </si>
  <si>
    <t>14 - odbor školství</t>
  </si>
  <si>
    <t>org. 1056 - převod na OVVI - organizační změna schválená 8. 2. 2006</t>
  </si>
  <si>
    <t>Celkem odbor školství</t>
  </si>
  <si>
    <t>19 - odbor správy</t>
  </si>
  <si>
    <t>udržování  mobiliáře v přednádražním prostoru</t>
  </si>
  <si>
    <t>údržba veř. WC</t>
  </si>
  <si>
    <t xml:space="preserve">org. 1056 </t>
  </si>
  <si>
    <t>Celkem odbor správy</t>
  </si>
  <si>
    <t>40 - odbor životního prostředí</t>
  </si>
  <si>
    <t>Výstaviště FLORA, a. s.</t>
  </si>
  <si>
    <t>Výstaviště Flora Olomouc, a. s.</t>
  </si>
  <si>
    <t>org. 1075</t>
  </si>
  <si>
    <t>svoz TKO od občanů</t>
  </si>
  <si>
    <t>čistota města vč. státních komunikací</t>
  </si>
  <si>
    <t>péče o vzhled obcí a veřejnou zeleň</t>
  </si>
  <si>
    <t>ostatní - areál Chválkovice</t>
  </si>
  <si>
    <t>Celkem odbor životního prostředí</t>
  </si>
  <si>
    <t>41 - odbor majetkoprávní</t>
  </si>
  <si>
    <t>správa, provoz a údržba Arionovy kašny</t>
  </si>
  <si>
    <t>údržba a provozování památek</t>
  </si>
  <si>
    <t>org. 1056 - 24 tis. Kč Památník za sobodu a demokracii, 222 tis. Kč Michalské schody</t>
  </si>
  <si>
    <t>provozování fontány a pítek v přednádražním prostoru; pítka v areálu "Parku Malého prince"</t>
  </si>
  <si>
    <t>Celkem odbor majetkoprávní</t>
  </si>
  <si>
    <t>42 - odbor ochrany</t>
  </si>
  <si>
    <t>vodní plochy, povodňová mříž zatrubnění Nemilanky, odvodňovací koryto v Povel. ul., vodočty a zař. CO, přečerp. stanice                    v Chomoutově, dešť. kanalizace</t>
  </si>
  <si>
    <t>Celkem odbor ochrany</t>
  </si>
  <si>
    <t>43 - odbor prodeje domů</t>
  </si>
  <si>
    <t>SNO, a. s.</t>
  </si>
  <si>
    <t>obstarávání správy nemovitostí</t>
  </si>
  <si>
    <t>org. 1670</t>
  </si>
  <si>
    <t>Celkem odbor prodeje domů</t>
  </si>
  <si>
    <t>Celkem objednávky veř. služeb dle odborů</t>
  </si>
  <si>
    <t>TSMO, a. s. celkem</t>
  </si>
  <si>
    <t>IDOS celkem</t>
  </si>
  <si>
    <t>FLORA, a. s. celkem</t>
  </si>
  <si>
    <t>Správa nemovitostí Olomouc, a.s.</t>
  </si>
  <si>
    <t>CELKEM obj. veř. služeb dle subjektů</t>
  </si>
  <si>
    <t>kontrolní číslo</t>
  </si>
  <si>
    <r>
      <t xml:space="preserve">Požadavek na r. 2007                       </t>
    </r>
    <r>
      <rPr>
        <b/>
        <sz val="8"/>
        <rFont val="Arial CE"/>
        <family val="2"/>
      </rPr>
      <t>v tis. Kč</t>
    </r>
  </si>
  <si>
    <t>sloupec 4 - uvádí se vratka dotace a návratné finanční výpomoci při finančním vypořádání; rovná se sloupec 1 minus  sloupec 2 minus sloupec 3</t>
  </si>
  <si>
    <t>Pozn.: dopad vratky návratné finanční výpomoci při finančním vypořádání do splátkového kalendáře je řešen v § 6 odst. 4</t>
  </si>
  <si>
    <t>Sestavil:</t>
  </si>
  <si>
    <t>S. Látalová</t>
  </si>
  <si>
    <t>Kontroloval:</t>
  </si>
  <si>
    <t>Bc. Vítězslava Vičarová</t>
  </si>
  <si>
    <t>Datum a podpis:</t>
  </si>
  <si>
    <r>
      <t xml:space="preserve">Obec nebo dobrovolný svazek obcí:  </t>
    </r>
    <r>
      <rPr>
        <b/>
        <sz val="10"/>
        <rFont val="Arial CE"/>
        <family val="2"/>
      </rPr>
      <t>Olomouc</t>
    </r>
  </si>
  <si>
    <r>
      <t>Finanční vypořádání dotací a návratných finančních výpomocí poskytnutých obcím prostřednictvím kraje</t>
    </r>
    <r>
      <rPr>
        <vertAlign val="superscript"/>
        <sz val="10"/>
        <rFont val="Arial CE"/>
        <family val="2"/>
      </rPr>
      <t>1</t>
    </r>
  </si>
  <si>
    <r>
      <t>Část A.</t>
    </r>
    <r>
      <rPr>
        <sz val="10"/>
        <rFont val="Arial CE"/>
        <family val="2"/>
      </rPr>
      <t xml:space="preserve"> Finanční vypořádání dotací ze státního rozpočtu s výjimkou dotací poskytnutých na projekty spolufinancované z rozpočtu Evropské unie podle § 6 odst. 2</t>
    </r>
  </si>
  <si>
    <r>
      <t>A.2.</t>
    </r>
    <r>
      <rPr>
        <sz val="10"/>
        <color indexed="12"/>
        <rFont val="Arial CE"/>
        <family val="2"/>
      </rPr>
      <t xml:space="preserve"> </t>
    </r>
    <r>
      <rPr>
        <sz val="10"/>
        <rFont val="Arial CE"/>
        <family val="2"/>
      </rPr>
      <t>Investiční dotace celkem</t>
    </r>
  </si>
  <si>
    <r>
      <t>A.3.</t>
    </r>
    <r>
      <rPr>
        <sz val="10"/>
        <color indexed="12"/>
        <rFont val="Arial CE"/>
        <family val="2"/>
      </rPr>
      <t xml:space="preserve"> </t>
    </r>
    <r>
      <rPr>
        <sz val="10"/>
        <rFont val="Arial CE"/>
        <family val="2"/>
      </rPr>
      <t>Návratná finanční výpomoc celkem</t>
    </r>
  </si>
  <si>
    <r>
      <t>1</t>
    </r>
    <r>
      <rPr>
        <sz val="9"/>
        <rFont val="Arial CE"/>
        <family val="2"/>
      </rPr>
      <t xml:space="preserve">zde se uvádějí údaje o dotacích a návratných finančních výpomocích, na které se nevztahuje § 1 odst. 2 této vyhlášky </t>
    </r>
  </si>
  <si>
    <t>Ministerstvo vnitra ČR</t>
  </si>
  <si>
    <t>Poskytnuto
k 31.12. 2006</t>
  </si>
  <si>
    <t>Vráceno v průběhu roku zpět na účet kraje</t>
  </si>
  <si>
    <t>Použito                                   k 31.12. 2006</t>
  </si>
  <si>
    <t>Vratka dotace                                                      a návratné finanční výpomoci při finančním vypořádání</t>
  </si>
  <si>
    <t>Zajištění bydlení krajanů</t>
  </si>
  <si>
    <t>Bc. V. Vičarová</t>
  </si>
  <si>
    <t>Ministerstvo kultury ČR</t>
  </si>
  <si>
    <t>Účelový
znak</t>
  </si>
  <si>
    <t>Vráceno                                     v průběhu roku zpět na účet kraje</t>
  </si>
  <si>
    <t>Použito
k 31.12. 2006</t>
  </si>
  <si>
    <t>Vratka dotace                                         a návrat. finanční výpomoci při finančním vypořádání</t>
  </si>
  <si>
    <t>Moravské divadlo Olomouc</t>
  </si>
  <si>
    <t>Moravská filharmonie Olomouc</t>
  </si>
  <si>
    <r>
      <t xml:space="preserve">Obec nebo dobrovolný svazek obcí: </t>
    </r>
    <r>
      <rPr>
        <b/>
        <sz val="10"/>
        <rFont val="Arial CE"/>
        <family val="2"/>
      </rPr>
      <t xml:space="preserve"> Olomouc</t>
    </r>
  </si>
  <si>
    <t>Ministerstvo průmyslu a obchodu ČR</t>
  </si>
  <si>
    <t>Vráceno                              v průběhu roku zpět na účet kraje</t>
  </si>
  <si>
    <t>Vratka dotace                              a návratné finanční výpomoci při finančním vypořádání</t>
  </si>
  <si>
    <t>Registr živnostenského podnikání</t>
  </si>
  <si>
    <t>Úřad vlády ČR</t>
  </si>
  <si>
    <t>Vráceno                                       v průběhu roku zpět na účet kraje</t>
  </si>
  <si>
    <t>Použito                              k 31.12. 2006</t>
  </si>
  <si>
    <t>Vratka dotace                                            a návratné finanční výpomoci při finančním vypořádání</t>
  </si>
  <si>
    <t>Podpora terénní práce</t>
  </si>
  <si>
    <t>Ministerstvo životního prostředí ČR</t>
  </si>
  <si>
    <t>Poskytnuto                        k 31.12. 2006</t>
  </si>
  <si>
    <t>Vráceno                                             v průběhu roku zpět na účet kraje</t>
  </si>
  <si>
    <t>Vratka dotace                                     a návratné finanční výpomoci při finančním vypořádání</t>
  </si>
  <si>
    <t xml:space="preserve">ZOO Sv. Kopeček </t>
  </si>
  <si>
    <t>Informační centra environmentální výchovy, vzdělávání a osvěty</t>
  </si>
  <si>
    <t>víceletý projekt</t>
  </si>
  <si>
    <t xml:space="preserve">V případě dotace na "Informační centra environmentální výchovy, vzdělávání a osvěty" se jedná o financování víceletého projektu (realizace projektu až do 31. 08. 2008), který je proplácen ze zvlášť zřízeného účtu, </t>
  </si>
  <si>
    <t>na který MŽP ČR zaslalo v roce 2006 první část dotace bez prostřednictví Krajského úřadu Olomouckého kraje.</t>
  </si>
  <si>
    <t>Obec nebo dobrovolný svazek obcí: Olomouc</t>
  </si>
  <si>
    <t>Kraj:Olomoucký</t>
  </si>
  <si>
    <t>Rozhodnutí
o přidělení dotace
na celou dobu
trvání projektu</t>
  </si>
  <si>
    <t>Poskytnuto 
celkem
k 31.12. roku,
v němž byl
projekt ukončen</t>
  </si>
  <si>
    <t>Použito
celkem
k 31.12. roku,
v němž byl
projekt ukončen</t>
  </si>
  <si>
    <t xml:space="preserve">Vratka prostředků 
při finančním 
vypořádání </t>
  </si>
  <si>
    <t>B 1. Neinvestiční dotace celkem</t>
  </si>
  <si>
    <t xml:space="preserve">v tom: </t>
  </si>
  <si>
    <t>Webové stránky B2B</t>
  </si>
  <si>
    <t>Olomouc - turistická nej …</t>
  </si>
  <si>
    <t>Elektronizace služeb</t>
  </si>
  <si>
    <t>B.2.  Investiční dotace celkem</t>
  </si>
  <si>
    <t xml:space="preserve">        - jednotlivé tituly</t>
  </si>
  <si>
    <t>B.3. Dotace celkem (B .1. + B.2.)</t>
  </si>
  <si>
    <t>ve sloupci c) jednotlivým titulem se rozumí stanovený účel, na který byla poskytnuta dotace</t>
  </si>
  <si>
    <t>sloupec 1 - uvádí se celkový objem dotace stanovený v rozhodnutí o přidělení dotace na celou dobu trvání projektu</t>
  </si>
  <si>
    <t>sloupec 2 - uvádí se celkový objem dotací skutečně poskytnutých příjemci k 31.12. roku, v němž je projekt ukončen</t>
  </si>
  <si>
    <t>sloupec 3 - uvádí se celkový objem prostředků skutečně použitých příjemcem z dotací poskytnutých k 31.12. roku, v němž je projekt ukončen</t>
  </si>
  <si>
    <t>sloupec 4 - uvádí se výše případné vratky dotace</t>
  </si>
  <si>
    <t>Poznámka:</t>
  </si>
  <si>
    <t>Projekty jsou součástí Společného regionálního operačního programu (SROP). Tyto projekty byly realizovány v roce 2006 a dotaci obdržíme v roce 2007.</t>
  </si>
  <si>
    <t>Sestavil: Ing. Vladislav Vlasák</t>
  </si>
  <si>
    <t>Datum a podpis: 31.1.2007</t>
  </si>
  <si>
    <r>
      <t>Kapitola:</t>
    </r>
    <r>
      <rPr>
        <b/>
        <sz val="10"/>
        <rFont val="Arial CE"/>
        <family val="2"/>
      </rPr>
      <t xml:space="preserve"> Ministerstvo pro místní rozvoj</t>
    </r>
  </si>
  <si>
    <r>
      <t>Část B.</t>
    </r>
    <r>
      <rPr>
        <sz val="10"/>
        <rFont val="Arial CE"/>
        <family val="2"/>
      </rPr>
      <t xml:space="preserve"> Finanční vypořádání dotací poskytnutých na projekty spolufinancované z rozpočtu Evropské unie podle  § 6 odst. 2</t>
    </r>
  </si>
  <si>
    <r>
      <t>1</t>
    </r>
    <r>
      <rPr>
        <sz val="9"/>
        <rFont val="Arial CE"/>
        <family val="2"/>
      </rPr>
      <t xml:space="preserve"> zde se uvádějí údaje o projektech, na které se nevztahuje § 1 odst. 2 této vyhlášky </t>
    </r>
  </si>
  <si>
    <t>Příloha č. 11 k vyhlášce č. 551/2004 Sb.</t>
  </si>
  <si>
    <t>Státní fond životního prostředí ČR</t>
  </si>
  <si>
    <t>Poskytnuto
k 31. 12. 2006</t>
  </si>
  <si>
    <t>Vráceno 
v průběhu roku
zpět na
výdajový účet
poskytovatele</t>
  </si>
  <si>
    <t>Vratka dotace                      a návratné finanční výpomoci při finančním vypořádání</t>
  </si>
  <si>
    <t>Ochrana ovzduší</t>
  </si>
  <si>
    <t>A.2. Investiční dotace celkem</t>
  </si>
  <si>
    <t>Středisko ekologické výchovy Sluňákov</t>
  </si>
  <si>
    <t>A.4. Dotace a  návratné finanční výpomoci celkem
    (A.1.+ A.2. + A.3.)</t>
  </si>
  <si>
    <t>ve sloupci b) jednotlivým titulem se rozumí stanovený účel, na který byla poskytnuta dotace nebo návratná finanční výpomoc</t>
  </si>
  <si>
    <t>sloupec 2 - vyplňuje se, pokud příjemce provedl vratku dotace nebo návratné finanční výpomoci, případně její části již v průběhu roku, za který se provádí finanční vypořádání, zpět na výdajový  účet poskytovatele</t>
  </si>
  <si>
    <t>sloupec 4 - uvádí se vratka dotace a návratné finanční výpomoci při finančním vypořádání; rovná se sloupec 3 minus  sloupec 4 minus sloupec 5</t>
  </si>
  <si>
    <t xml:space="preserve">               S. Látalová</t>
  </si>
  <si>
    <t>Datum a podpis:     22. 01. 2007</t>
  </si>
  <si>
    <t>Datum a podpis:        22. 01. 2007</t>
  </si>
  <si>
    <r>
      <t>Obec</t>
    </r>
    <r>
      <rPr>
        <sz val="10"/>
        <rFont val="Arial CE"/>
        <family val="2"/>
      </rPr>
      <t>:</t>
    </r>
  </si>
  <si>
    <r>
      <t>Poskytovatel</t>
    </r>
    <r>
      <rPr>
        <vertAlign val="superscript"/>
        <sz val="10"/>
        <rFont val="Arial CE"/>
        <family val="2"/>
      </rPr>
      <t>:</t>
    </r>
  </si>
  <si>
    <r>
      <t>Kapitola</t>
    </r>
    <r>
      <rPr>
        <sz val="10"/>
        <rFont val="Arial CE"/>
        <family val="2"/>
      </rPr>
      <t>:</t>
    </r>
  </si>
  <si>
    <r>
      <t>Finanční vypořádání dotací a</t>
    </r>
    <r>
      <rPr>
        <sz val="10"/>
        <color indexed="12"/>
        <rFont val="Arial CE"/>
        <family val="2"/>
      </rPr>
      <t xml:space="preserve"> </t>
    </r>
    <r>
      <rPr>
        <sz val="10"/>
        <rFont val="Arial CE"/>
        <family val="2"/>
      </rPr>
      <t>návratných finančních výpomocí poskytnutých obcím bez prostřednictví kraje</t>
    </r>
    <r>
      <rPr>
        <vertAlign val="superscript"/>
        <sz val="10"/>
        <rFont val="Arial CE"/>
        <family val="2"/>
      </rPr>
      <t>2</t>
    </r>
  </si>
  <si>
    <r>
      <t>Část A</t>
    </r>
    <r>
      <rPr>
        <sz val="10"/>
        <rFont val="Arial CE"/>
        <family val="2"/>
      </rPr>
      <t>. Finanční vypořádání dotací ze státního rozpočtu s výjimkou dotací poskytnutých na projekty spolufinancované z rozpočtu Evropské unie podle § 6 odst. 3</t>
    </r>
  </si>
  <si>
    <r>
      <t>1</t>
    </r>
    <r>
      <rPr>
        <sz val="9"/>
        <rFont val="Arial CE"/>
        <family val="2"/>
      </rPr>
      <t xml:space="preserve"> vyplňuje se v případě, že poskytovatelem je úřad práce nebo jiná organizační složka státu dle zvláštního právního předpisu, tzn. pokud poskytovatel je organizační složkou státu, ale není totožný se správcem kapitoly</t>
    </r>
  </si>
  <si>
    <r>
      <t>2</t>
    </r>
    <r>
      <rPr>
        <sz val="9"/>
        <rFont val="Arial CE"/>
        <family val="2"/>
      </rPr>
      <t xml:space="preserve">zde se uvádějí údaje o dotacích a návratných finančních výpomocích, na které se nevztahuje § 1 odst. 2 této vyhlášky </t>
    </r>
  </si>
  <si>
    <t>Státní fond rozvoje bydlení ČR</t>
  </si>
  <si>
    <t>nepodléhá FV za rok 2006</t>
  </si>
  <si>
    <t>Nenávratné povodňové příspěvky na opravy bytů poškozené</t>
  </si>
  <si>
    <t>povodní v roce 2006</t>
  </si>
  <si>
    <t>(možno čerpat až do dubna 2008)</t>
  </si>
  <si>
    <t>Podpora prevence kriminality na regionální úrovni (limitní účet)</t>
  </si>
  <si>
    <t xml:space="preserve">Ze strany MV ČR byla SmOl přiznána státní dotace ve výši 562 tis. Kč. Omylem však město výdaje na kamerový systém (112 tis. Kč) a na pořízení radaru (450 tis. Kč) proplatilo ze svého výdajového </t>
  </si>
  <si>
    <t>a nikoliv ze zřízeného limitního účtu. Reálně tedy neproběhlo v roce 2006 žádné čerpání řádně přiznané dotace ze zřízeného limitního účtu.</t>
  </si>
  <si>
    <t>Ministerstvo pro místní rozvoj ČR</t>
  </si>
  <si>
    <t>Povodně 2006 - provozní výdaje na řešení ochrany majetku obcí</t>
  </si>
  <si>
    <t>Povodně 2006 - zajištění dočasného náhradního ubytování</t>
  </si>
  <si>
    <t>Regenerace panel. sídliště Úzké Díly - IV. etapa - RC 14</t>
  </si>
  <si>
    <t>(limitní účet)</t>
  </si>
  <si>
    <t>Ministerstvo práce a sociálních věcí ČR</t>
  </si>
  <si>
    <t>Aktivní politika zaměstnanosti</t>
  </si>
  <si>
    <t>Program regenerace MPR a MPZ v roce 2006</t>
  </si>
  <si>
    <t>Fontána Sv. Jana Sarkandra (limitní účet)</t>
  </si>
  <si>
    <t>Moravské divadlo - rekonstrukce budovy Tř. Svobody - část C</t>
  </si>
  <si>
    <t>Moravské divadlo - rekonstrukce budovy Tř. Svobody - část D</t>
  </si>
  <si>
    <t>V souladu s pravidly MK ČR byla ze strany SmOl v prosinci 2006 zaslána zpět na limitní účet akce "Moravské divadlo - rekonstrukce budovy Tř. Svobody - část D" u ČS, a. s. částka 158.420,60 Kč.</t>
  </si>
  <si>
    <t>Tato úspora v rámci stavby však nebyla ze strany ČS, a. s. do konce roku odeslána zpět na depozitní účet MK ČR, neboť číslo účtu, kam měla být tato vratka státní dotace poukázána, bylo peněž-</t>
  </si>
  <si>
    <t>nímu ústavu oznámeno až v lednu 2007. V tomto měsíci rovněž proběhl reálný převod finančních prostředků na úček MK ČR.</t>
  </si>
  <si>
    <t xml:space="preserve">Nedočerpaná státní dotace na "Program regenerace MPR a MPZ v roce 2006" byla v slouladu s Rozhodnutím MK ČR finančně vypořádána v řádném termínu (do 15. 01. 2007) a vratka 210 tis.Kč byla </t>
  </si>
  <si>
    <t>dne 10. 01. 2007 poukázána na depozitní účet MK ČR u ČNB.</t>
  </si>
  <si>
    <t>Obec:</t>
  </si>
  <si>
    <t>Národní fond ČR</t>
  </si>
  <si>
    <t>Kapitola:</t>
  </si>
  <si>
    <t>Propojovací komunikace ulic U Panelárny + Roháče z Dubé</t>
  </si>
  <si>
    <t>Rekonstrukce lávky pro pěší ve Smetanovych sadech</t>
  </si>
  <si>
    <t>Rekonstrukce komunikace a inž. sítí a areálu kasáren P. Holého - bývalé kasárna</t>
  </si>
  <si>
    <t xml:space="preserve">  poskytovatel je organizační složkou státu, ale není totožný se správcem kapitoly</t>
  </si>
  <si>
    <t>sloupec 2 - uvádí se celkový objem dotací skutečně poskytnutých příjemci k 31.12.roku, v němž je projekt ukončen</t>
  </si>
  <si>
    <r>
      <t>Poskytovatel</t>
    </r>
    <r>
      <rPr>
        <vertAlign val="superscript"/>
        <sz val="10"/>
        <rFont val="Arial CE"/>
        <family val="2"/>
      </rPr>
      <t>2:</t>
    </r>
  </si>
  <si>
    <r>
      <t>Finanční vypořádání dotací a návratných finančních výpomocí poskytnutých obcím bez prostřednictví kraje</t>
    </r>
    <r>
      <rPr>
        <vertAlign val="superscript"/>
        <sz val="10"/>
        <rFont val="Arial CE"/>
        <family val="2"/>
      </rPr>
      <t>2</t>
    </r>
  </si>
  <si>
    <r>
      <t>Část B</t>
    </r>
    <r>
      <rPr>
        <sz val="10"/>
        <rFont val="Arial CE"/>
        <family val="2"/>
      </rPr>
      <t>. Finanční vypořádání dotací poskytnutých na projekty spolufinancované z rozpočtu Evropské unie podle  § 6 odst. 3</t>
    </r>
  </si>
  <si>
    <r>
      <t>B.2.  Investiční dotace</t>
    </r>
    <r>
      <rPr>
        <vertAlign val="superscript"/>
        <sz val="10"/>
        <rFont val="Arial CE"/>
        <family val="2"/>
      </rPr>
      <t>2</t>
    </r>
    <r>
      <rPr>
        <sz val="10"/>
        <rFont val="Arial CE"/>
        <family val="2"/>
      </rPr>
      <t xml:space="preserve"> celkem</t>
    </r>
  </si>
  <si>
    <r>
      <t>1</t>
    </r>
    <r>
      <rPr>
        <sz val="9"/>
        <rFont val="Arial CE"/>
        <family val="2"/>
      </rPr>
      <t xml:space="preserve"> vyplňuje se v případě, že poskytovatelem je úřad práce nebo jiná organizační složka státu dle zvláštního právního předpisu, tzn. pokud </t>
    </r>
  </si>
  <si>
    <r>
      <t>2</t>
    </r>
    <r>
      <rPr>
        <sz val="9"/>
        <rFont val="Arial CE"/>
        <family val="2"/>
      </rPr>
      <t xml:space="preserve"> zde se uvádějí údaje o projektech, na které se nevztahuje § 1 odst. 2 této vyhlášky </t>
    </r>
  </si>
  <si>
    <t>Investiční akce Holice  - Šlechtitélů - průmyslová zóna je součástí Národního programu PHARE 2003/ČÁST I - HOSPODÁŘSKÁ  A SOCIÁLNÍ SOUDRŽNOST. Poskytovatel grantu se ve smlově zavazuje, že poskytne maximálně 2 282 327 EUR ( z toho příspěvek Phare činí 50%, tj. maximálně 1 141 163,50 EUR a příspěvek ze státního rozpočtu činí zbývajících 50% tj. maximálně 1 141 163,50 EUR). Celý projekt je veden a financován v EUR.</t>
  </si>
  <si>
    <t>Příloha č. 1</t>
  </si>
  <si>
    <t>Příjmy - plnění k 31. 12. 2006</t>
  </si>
  <si>
    <t>str. 1 - 6</t>
  </si>
  <si>
    <t>Příloha č. 2</t>
  </si>
  <si>
    <t>Sumář provozních výdajů - příspěvkové organizace v roce 2006</t>
  </si>
  <si>
    <t>str. 7</t>
  </si>
  <si>
    <t>Příloha č. 3</t>
  </si>
  <si>
    <t>Sumář provozních výdajů - objednávky veřejných služeb v roce 2006</t>
  </si>
  <si>
    <t>str. 8 - 9</t>
  </si>
  <si>
    <t>Příloha č. 4</t>
  </si>
  <si>
    <t>Investice - čerpání k 31. 12. 2006</t>
  </si>
  <si>
    <t>str. 10 - 22</t>
  </si>
  <si>
    <t>Příloha č. 5</t>
  </si>
  <si>
    <t>Financování v roce 2006</t>
  </si>
  <si>
    <t>str. 23</t>
  </si>
  <si>
    <t>Příloha č. 6</t>
  </si>
  <si>
    <t>Rekapitulace příjmů, výdajů a financování roku 2006</t>
  </si>
  <si>
    <t>str. 24</t>
  </si>
  <si>
    <t>Příloha č. 7</t>
  </si>
  <si>
    <t>Hospodaření účelových fondů - Fond rozvoje bydlení (klasický + povodňový),</t>
  </si>
  <si>
    <t>sociální fondy a FRR v roce 2006</t>
  </si>
  <si>
    <t>str. 25 - 27</t>
  </si>
  <si>
    <t>Příloha č. 8</t>
  </si>
  <si>
    <t>Finanční vypořádání se státním rozpočtem za rok 2006</t>
  </si>
  <si>
    <t>str. 28 - 45</t>
  </si>
  <si>
    <t>org.1056: vodní plochy 204 tis., vodočty a zařízení CO 25 tis., odvodňovací koryto Povelská ul. 26 tis., povodňová mříž Nemilany 14 tis., údržba přečerpávací stanice v Chomoutově 91 tis., čištění související dešťové kanalizace a revize zpětné klapky 90 tis.</t>
  </si>
  <si>
    <t>org.</t>
  </si>
  <si>
    <t>§</t>
  </si>
  <si>
    <t>pol</t>
  </si>
  <si>
    <t>Název stavby</t>
  </si>
  <si>
    <t>schválený rozpočet 2006                                           v tis. Kč</t>
  </si>
  <si>
    <t>upravený rozpočet                        k 19.12.2006                v Kč</t>
  </si>
  <si>
    <t>změna</t>
  </si>
  <si>
    <t>upravený                           rozpočet                        k 27.12.2006                 v Kč</t>
  </si>
  <si>
    <t>odpočet DPH                               pol. 5362</t>
  </si>
  <si>
    <t>čerpání                        k 31.12.2006</t>
  </si>
  <si>
    <t>čerpání celkem včetně DPH</t>
  </si>
  <si>
    <t>% čerpání                                     včetně DPH</t>
  </si>
  <si>
    <t>I. Stavební investice</t>
  </si>
  <si>
    <t>Andělská ul. - kanalizační přípojka</t>
  </si>
  <si>
    <t>Andělská ul. - rekonstrukce komunikace</t>
  </si>
  <si>
    <t>Andělská ul. - propojení přes areál Lotos</t>
  </si>
  <si>
    <t>Aquapark</t>
  </si>
  <si>
    <t>Aquapark - provedení stavby - hrubé terénní úpravy</t>
  </si>
  <si>
    <t>Balbínova ul. - dětské hřiště</t>
  </si>
  <si>
    <t>Balbínova - Mojmírova - Horní Hejčínská, rek. komunikace</t>
  </si>
  <si>
    <t>Baarova ul. - kanalizace</t>
  </si>
  <si>
    <t>Bezbariérové úpravy komunikací</t>
  </si>
  <si>
    <t>Bezbariérové úpravy komunikací Olomouc - trasa E</t>
  </si>
  <si>
    <t>Bezbariérové úpravy komunikací Olomouc - trasa F a H</t>
  </si>
  <si>
    <t>Bezručovy sady - dětské hřiště</t>
  </si>
  <si>
    <t>B. Martinů - rozšíření VO</t>
  </si>
  <si>
    <t>Cyklostezky</t>
  </si>
  <si>
    <t>Čechovy sady - rekonstrukce dětského hřiště</t>
  </si>
  <si>
    <t>Čechovy sady - rekonstrukce sociálního zařízení</t>
  </si>
  <si>
    <t>Česká čtvrť Nemilany - chodník</t>
  </si>
  <si>
    <t>Černovír - vojenský hřbitov</t>
  </si>
  <si>
    <t>Černovír - hasičská zbrojnice</t>
  </si>
  <si>
    <t>Černovír - rek. LB ochranné hráze, 1. etapa</t>
  </si>
  <si>
    <t>real. majetkoprávní odbor</t>
  </si>
  <si>
    <t>Darwinova ul. - odvodnění parkoviště</t>
  </si>
  <si>
    <t>Denisova ul. - chodník</t>
  </si>
  <si>
    <t>Denisova, Pekařská ul. - rekonstrukce komunikace</t>
  </si>
  <si>
    <t>Dětské hřiště u Bystřičky</t>
  </si>
  <si>
    <t>Dobudování a rek. stokové sítě města Olomouc II. stavba - ISPA</t>
  </si>
  <si>
    <t>Dolní náměstí - rekonstrukce</t>
  </si>
  <si>
    <t>Dolní Novosadská - plynofikace</t>
  </si>
  <si>
    <t>Dolní Novosadská - dešťová kanalizace</t>
  </si>
  <si>
    <t>Droždín, Jesenického ul. - zahradní kolonie - VO</t>
  </si>
  <si>
    <t>Droždín - rekonstrukce veřejného rozhlasu</t>
  </si>
  <si>
    <t>Výstaviště Flora Olomouc, a. s. - rozvoj a rekonstrukce výstaviště</t>
  </si>
  <si>
    <t>Fischerova ul. - malá parkoviště</t>
  </si>
  <si>
    <t>Foersterova ul. - úprava komunikace</t>
  </si>
  <si>
    <t>Fontána Sv. Jana Sarkandra</t>
  </si>
  <si>
    <t>ÚZ 34668</t>
  </si>
  <si>
    <t>Grygov - rekultivace skládky odpadů</t>
  </si>
  <si>
    <t>Gymnázium Čajkovského - zpříst. prostor pro imobil. studenta</t>
  </si>
  <si>
    <t>v tom 300 tis. Kč dotace KÚ bez ÚZ</t>
  </si>
  <si>
    <t>ÚZ 19 - dotace KÚ</t>
  </si>
  <si>
    <t>Hálkova ul. 20 - rekonstrukce výtahu</t>
  </si>
  <si>
    <t>Hálkova ul. 20 - rekonstrukce, vchod B</t>
  </si>
  <si>
    <t>Hněvotínská ul. - cyklostezka</t>
  </si>
  <si>
    <t>Holečkova ul. 7 - rozšíř. kapacity Domova pro ženy, matky s dětmi</t>
  </si>
  <si>
    <t>v tom dar firmy Timken ČR, s.r.o.                              3 314 250,00 Kč</t>
  </si>
  <si>
    <t>Hodolany - hřbitov - stavební úpravy</t>
  </si>
  <si>
    <t>Holice - Šlechtitelů - průmyslová zóna</t>
  </si>
  <si>
    <t>vlastní zdroje</t>
  </si>
  <si>
    <t>ÚZ 95738 - Phare I</t>
  </si>
  <si>
    <t>Holice - Šlechtitelů - průmyslová zóna - vedl. technický koridor</t>
  </si>
  <si>
    <t>Holice - Příkopy, kanalizace + vodovod</t>
  </si>
  <si>
    <t>Holice, ul. U Pekárny - rekonstrukce VO</t>
  </si>
  <si>
    <t>Hraniční ul. - směr centrum - MHD zastávka</t>
  </si>
  <si>
    <t>Hraniční ul. - směr město - MHD zastávka</t>
  </si>
  <si>
    <t>Hřbitovy Olomouc</t>
  </si>
  <si>
    <t>Hynaisova 10 - volný interiér</t>
  </si>
  <si>
    <t>Hynaisova 10 - dopl. otopné plochy podatelny a bufetu</t>
  </si>
  <si>
    <t>Hynaisova 10 - připojení náhradního zdroje</t>
  </si>
  <si>
    <t>Chaloupky  ul. - vybudování VO</t>
  </si>
  <si>
    <t>Chomoutov - hasičská zbrojnice</t>
  </si>
  <si>
    <t>Chodníky</t>
  </si>
  <si>
    <t>Chválkovice - hasičské cvičiště</t>
  </si>
  <si>
    <t>Chválkovice - Selské nám. - cyklostezka</t>
  </si>
  <si>
    <t>Chválkovice - Samotišky - cyklostezka</t>
  </si>
  <si>
    <t>Chválkovická, Pavlovická ul. - rekonstrukce vodovodu</t>
  </si>
  <si>
    <t>Informační a orientační systém</t>
  </si>
  <si>
    <t>Jeremenkova ul. - přednádražní prostor  IV. a V. etapa</t>
  </si>
  <si>
    <t>Jílová ul. - parkoviště</t>
  </si>
  <si>
    <t>Jižní ul. - Arbesova ul. - chodník</t>
  </si>
  <si>
    <t>Jižní, Zolova ul. - rekonstrukce komunikace</t>
  </si>
  <si>
    <t>Kanalizace - rekonstr. odlehčovací komory OK 3A</t>
  </si>
  <si>
    <t xml:space="preserve">Kanalizační sběrač AII </t>
  </si>
  <si>
    <t>Kasárna Neředín</t>
  </si>
  <si>
    <t>Keplerova - Stará Přerovská - propustek</t>
  </si>
  <si>
    <t>Kojenecký ústav - most</t>
  </si>
  <si>
    <t>Knihovna města Olomouce - rek. otopného systému</t>
  </si>
  <si>
    <t>Neředínská - Družstevní - spojovací chodník</t>
  </si>
  <si>
    <t>Křivá ul. - náměstíčko</t>
  </si>
  <si>
    <t>Lávka Smetanovy sady - Výstaviště Flóra Olomouc, a. s.</t>
  </si>
  <si>
    <t>ÚZ 17774 - podíl ze SR</t>
  </si>
  <si>
    <t>ÚZ 95739 - Phare II</t>
  </si>
  <si>
    <t>Lazce - Kouty - sportovní areál, autokemp</t>
  </si>
  <si>
    <t>Lošovská ul. - rozšíření VO</t>
  </si>
  <si>
    <t>Malá parkoviště</t>
  </si>
  <si>
    <t>Máchalova ul . - rekonstrukce komunikace a inž. sítí</t>
  </si>
  <si>
    <t>MDO - rek. budovy tř. Svobody 33 - část D</t>
  </si>
  <si>
    <t>MDO - rekonstrukce budovy tř. Svobody 33 - část C</t>
  </si>
  <si>
    <t>MHD + zastávky</t>
  </si>
  <si>
    <t>Mlýnský potok - cyklostezka</t>
  </si>
  <si>
    <t>ÚZ 605</t>
  </si>
  <si>
    <t>MmOl - termostatické ventily</t>
  </si>
  <si>
    <t>realizuje odbor správy</t>
  </si>
  <si>
    <t>Mor. železárny, starý závod - směr město, zastávka MHD</t>
  </si>
  <si>
    <t xml:space="preserve">Most u plynárny </t>
  </si>
  <si>
    <t>Mošnerova ul. - Okružní ul. - propojení komunikce</t>
  </si>
  <si>
    <t>MŠ Dělnická - nosná konstrukce</t>
  </si>
  <si>
    <t>MŠ Droždín - kanalizační přípojka</t>
  </si>
  <si>
    <t>MŠ Jílová - rekonstrukce ŠJ</t>
  </si>
  <si>
    <t>MŠ Jílová - realizace energetických opatření</t>
  </si>
  <si>
    <t>MŠ Zeyerova - rekonstrukce ŠJ</t>
  </si>
  <si>
    <t>Nabytí vojenského areálu Tabulový vrch z vlastnictví MO ČR</t>
  </si>
  <si>
    <t>Multifunkční hala</t>
  </si>
  <si>
    <t>Na Stráni - rozšíření VO</t>
  </si>
  <si>
    <t xml:space="preserve">Na Letné - směr hl. n., zastávka MHD </t>
  </si>
  <si>
    <t>Nedvězí vodovod</t>
  </si>
  <si>
    <t>Nemilany, ul. Sokolovny - rekonstrukce VO</t>
  </si>
  <si>
    <t>Neředín - propojující komunikace rondel - lokalita Na vršku</t>
  </si>
  <si>
    <t>Neředín - hřbitov - kanalizace</t>
  </si>
  <si>
    <t>Obnova mobiliáře a povrchu v  olomouckých historických sadech</t>
  </si>
  <si>
    <t>Odlehčovací komora OK2B</t>
  </si>
  <si>
    <t>Okružní ul. - rozšíření sítě VO</t>
  </si>
  <si>
    <t>Okružní - směr centrum Haná - MHD zastávka</t>
  </si>
  <si>
    <t>Okružní - směr město - MHD - zastávka</t>
  </si>
  <si>
    <t>Olomouc - předkremační prostor</t>
  </si>
  <si>
    <t>Olomouc, Bělidla - prop. komun. v trase Severního spoje</t>
  </si>
  <si>
    <t>Olomouc - Černovír, Stratilova ul., jímka povodňových vod</t>
  </si>
  <si>
    <t>Park malého prince - rekonstrukce objektu</t>
  </si>
  <si>
    <t>Park malého prince IV. etapa</t>
  </si>
  <si>
    <t>Pionýrská ul. - malá parkoviště</t>
  </si>
  <si>
    <t>Plavecký bazén - parkoviště</t>
  </si>
  <si>
    <t>Plavecký bazén - venkovní areál</t>
  </si>
  <si>
    <t>Plavecký bazén - vodní hospodářství</t>
  </si>
  <si>
    <t>Poděbrady - Chomoutov - cyklostezka</t>
  </si>
  <si>
    <t>Poděbrady - 1. úsek, Plané Loučky - cyklostezka</t>
  </si>
  <si>
    <t>Politických vězňů  ul. - rekonstrukce parkoviště</t>
  </si>
  <si>
    <t>Povelská ul. - odvedení dešťových vod</t>
  </si>
  <si>
    <t>Požárníků ul. - kanalizace</t>
  </si>
  <si>
    <t>Prokopa Holého ul. - areál býv. kasáren - komunikace</t>
  </si>
  <si>
    <t>Černovír - rekonstrukce levého břehu ochranné hráze I. etapa</t>
  </si>
  <si>
    <t>Průchodní ul. - rekonstrukce komunikace a inž. sítí</t>
  </si>
  <si>
    <t>Přáslavická svodnice - přeložka</t>
  </si>
  <si>
    <t>Přerovská, Rolsberská ul. - rekonstrukce vodovodního řadu H</t>
  </si>
  <si>
    <t>Přerovská - Moravská ul. - Holice - VO</t>
  </si>
  <si>
    <t>Přichystalova ul. - rekonstrukce komunikace</t>
  </si>
  <si>
    <t>Přichystalova ul. - přístupové komunikace</t>
  </si>
  <si>
    <t>Příprava projektů pro  EU</t>
  </si>
  <si>
    <t>Radíkov - kanalizace</t>
  </si>
  <si>
    <t>Regenerace panelového sídliště Úzké Díly RC 14</t>
  </si>
  <si>
    <t>ÚZ 17772</t>
  </si>
  <si>
    <t>Rekonstrukce a dobudování stokové sítě města - ISPA I</t>
  </si>
  <si>
    <t>ÚZ 15796</t>
  </si>
  <si>
    <t>ÚZ 95757- Fond soudrž.</t>
  </si>
  <si>
    <t>ÚZ 90102 - dotace SFŽP</t>
  </si>
  <si>
    <t>ÚZ 90102 - půjčka SFŽP</t>
  </si>
  <si>
    <t>Rekonstukce kanal. přípojky Tř. Svobody 32</t>
  </si>
  <si>
    <t>Rondel - Babíčkova ul. - rekonstrukce kanalizace</t>
  </si>
  <si>
    <t>Rozvoj informačních a komunikačních technologií</t>
  </si>
  <si>
    <t>Rozvoj MHD Olomouc</t>
  </si>
  <si>
    <t>ÚZ 17778</t>
  </si>
  <si>
    <t>Římská ul. - rondel, chodník</t>
  </si>
  <si>
    <t>Schweitzerova ul - směr město - MHD zastávka</t>
  </si>
  <si>
    <t>SEV Sluňákov - interiér</t>
  </si>
  <si>
    <t>Sídliště Slavonín - nákup části stavby splaškové kanalizace</t>
  </si>
  <si>
    <t>Skatepark</t>
  </si>
  <si>
    <t>Sladkovského ul. - rekonstrukce komunikace a inž. sítí</t>
  </si>
  <si>
    <t>Sluňákov - středisko ekologické výchovy</t>
  </si>
  <si>
    <t>ÚZ 90106 - SFŽP</t>
  </si>
  <si>
    <t>Stará Přerovská - rekonstrukce komunikace</t>
  </si>
  <si>
    <t>Stupkova ul. - chodník</t>
  </si>
  <si>
    <t>Šubova ul., Chválkovice - chodník</t>
  </si>
  <si>
    <t>Synkova ul. - malá parkoviště</t>
  </si>
  <si>
    <t>Sv. Kopeček - rekonstrukce veřejného rozhlasu</t>
  </si>
  <si>
    <t>Svatoplukova - Křelovská ul. - chodník</t>
  </si>
  <si>
    <t>Štítného - Foerstrova - Pražská ul. - cyklostezka</t>
  </si>
  <si>
    <t>Štítného - Poupětova ul. - cyklostezka</t>
  </si>
  <si>
    <t>Štítného ul. - rekonstrukce kanalizace</t>
  </si>
  <si>
    <t>Štítného ul. - rekonstrukce vodovodu</t>
  </si>
  <si>
    <t>Tererovo náměstí - rekonstrukce chodníků</t>
  </si>
  <si>
    <t>Tomkova ul., Mrštíkovo nám. - rekonstrukce komunikace</t>
  </si>
  <si>
    <t>Topolany - cyklostezka</t>
  </si>
  <si>
    <t xml:space="preserve">Thomayerova ul. - rekonstrukce komunikace a inž. sítí </t>
  </si>
  <si>
    <t>Týneček - Chválkovice - cyklostezka</t>
  </si>
  <si>
    <t>ul. K Hájence - rekonstrukce komunikace a inž. sítí</t>
  </si>
  <si>
    <t>U Pekárny - MHD - zastávky</t>
  </si>
  <si>
    <t>U Potoka - rekonstrukce komunikace</t>
  </si>
  <si>
    <t>Úprava autobusových zastávek Olomouc, ul. Chválkovická</t>
  </si>
  <si>
    <t>U Sv. Jána - rozšíření VO</t>
  </si>
  <si>
    <t>U Výpadu - rekonstrukce komunikace</t>
  </si>
  <si>
    <t>U Terezské brány - parkoviště</t>
  </si>
  <si>
    <t xml:space="preserve">TSMO, a. s. - Chválkovice - areál TSMO - úprava trafostanice </t>
  </si>
  <si>
    <t>realizuje odbor dopravy</t>
  </si>
  <si>
    <t xml:space="preserve">TSMO, a. s. - Chválkovice - areál TSMO - vodárna + studna </t>
  </si>
  <si>
    <t xml:space="preserve">ul. U Staré Moravy </t>
  </si>
  <si>
    <t>ul. Na Zákopě - rekonstrukce komunikace a inženýrských sítí</t>
  </si>
  <si>
    <t>ul. Táboritů - rekonstrukce  komunikace</t>
  </si>
  <si>
    <t>VO + SSZ</t>
  </si>
  <si>
    <t>Velkomoravská ul. - lávka pro pěší</t>
  </si>
  <si>
    <t>Voskovcova ul. - Rožňavská ul. - chodník</t>
  </si>
  <si>
    <t>Výstavba přednádražního uzlu - ČD III. etapa</t>
  </si>
  <si>
    <t>Wolkerova ul. - chodník u MŠ</t>
  </si>
  <si>
    <t>Zadávací projektové dokumentace</t>
  </si>
  <si>
    <t xml:space="preserve">Zimní stadion - rek. ledové plochy, technologie </t>
  </si>
  <si>
    <t>ZOO Sv. Kopeček - pavilon lidoopů s výběhy</t>
  </si>
  <si>
    <t xml:space="preserve">ZŠ Gorkého - rekonstrukce otopného systému </t>
  </si>
  <si>
    <t>ZŠ Hálkova - půdní vestavba</t>
  </si>
  <si>
    <t>ZŠ Heyrovského - rekonstrukce ŠJ</t>
  </si>
  <si>
    <t>ZŠ Heyrovského - sportovní areál</t>
  </si>
  <si>
    <t xml:space="preserve">ZŠ Holice - realizace energetických opatření </t>
  </si>
  <si>
    <t>ZŠ Nedvědova - rekonstrukce ŠJ</t>
  </si>
  <si>
    <t>ZŠ Nemilany - kanalizační přípojka</t>
  </si>
  <si>
    <t>ZŠ Nemilany - realizace energetických opatření</t>
  </si>
  <si>
    <t>ZŠ prof. Z. Matějčka - odstranění vlhkosti</t>
  </si>
  <si>
    <t>ZŠ Rožňavská - rekonstrukce ŠJ</t>
  </si>
  <si>
    <t>ZŠ Řezníčkova - rekonstrukce ŠJ</t>
  </si>
  <si>
    <t>ZŠ Tř. Spojenců - realizace energetických auditů</t>
  </si>
  <si>
    <t>ZŠ Stupkova - rekonstrukce ŠJ</t>
  </si>
  <si>
    <t>ZŠ Svatoplukova - realizace energetických auditů</t>
  </si>
  <si>
    <t>ZŠ Svornosti - parkoviště</t>
  </si>
  <si>
    <t>ZŠ Terera - rekonstrukce ŠJ</t>
  </si>
  <si>
    <t>ZŠ Terera - uzavřený koridor</t>
  </si>
  <si>
    <t>ZŠ Zeyerova - rekonstrukce ŠJ</t>
  </si>
  <si>
    <t xml:space="preserve">Mezisoučet </t>
  </si>
  <si>
    <t>II. Nestavební investice</t>
  </si>
  <si>
    <t>realizuje odbor investic</t>
  </si>
  <si>
    <t>realizuje majetkoprávní odbor</t>
  </si>
  <si>
    <t>Digitální technická mapa města Olomouce - dokončení</t>
  </si>
  <si>
    <t>realizuje odbor informatiky</t>
  </si>
  <si>
    <t>Energetický audit</t>
  </si>
  <si>
    <t>realizuje odbor školství</t>
  </si>
  <si>
    <t>Externí výběrová řízení</t>
  </si>
  <si>
    <t>Fotokabinka - Olomouc, Vejdovského 2</t>
  </si>
  <si>
    <t>Gumový člun</t>
  </si>
  <si>
    <t>realizuje odbor ochrany</t>
  </si>
  <si>
    <t>HZS - automobilová požární cisterna</t>
  </si>
  <si>
    <t xml:space="preserve">JSDH - nákup požárního vozidla </t>
  </si>
  <si>
    <t>Kamerový systém - MPO</t>
  </si>
  <si>
    <t>realizuje Městská policie</t>
  </si>
  <si>
    <t>Kamerový systém - přednádraží</t>
  </si>
  <si>
    <t>Kapitálový vstup SmOl - SK Sigma Olomouc a. s.</t>
  </si>
  <si>
    <t>realizuje odbor vnějších vztahů                 a informací</t>
  </si>
  <si>
    <t>Kopírovací stroj</t>
  </si>
  <si>
    <t>realizuje stavební odbor</t>
  </si>
  <si>
    <t>Kopírovací stroj pro odbor agendy řidičů a motor. vozidel</t>
  </si>
  <si>
    <t>realizuje odbor agendy řidičů                         a motor. vozidel</t>
  </si>
  <si>
    <t>Kopírovací stroj pro odd. cestovního ruchu OVVI</t>
  </si>
  <si>
    <t>realizuje odbor vnějších vztahů                      a informací</t>
  </si>
  <si>
    <t>Kopírovací stroj pro odbor vnitřního auditu a kontroly</t>
  </si>
  <si>
    <t>realizuje odbor vnitřního auditu                           a kontroly</t>
  </si>
  <si>
    <t>Kopírovací stroj pro odbor životního prostředí</t>
  </si>
  <si>
    <t>realizuje odbor životního prostředí</t>
  </si>
  <si>
    <t>Multifunkční kancel. stroj pro kancel. primátora (neuvol. funkc.)</t>
  </si>
  <si>
    <t>realizuje odbor kanceláře primátora</t>
  </si>
  <si>
    <t>Městská policie - nákup 10 ks parkovacích automatů</t>
  </si>
  <si>
    <t>Městská policie - mobilní kamerový systém</t>
  </si>
  <si>
    <t>Městská policie - pořízení radaru na měření rychlosti</t>
  </si>
  <si>
    <t>Motorová požární přenosná čerpadla</t>
  </si>
  <si>
    <t>Motorová kalová čerpadla</t>
  </si>
  <si>
    <t>Nákup automobilů</t>
  </si>
  <si>
    <t xml:space="preserve">Nákup SW </t>
  </si>
  <si>
    <t>OSSZ - nákup klimatizační jednotky</t>
  </si>
  <si>
    <t>realizuje odbor sociálních služeb a zdravotnictví</t>
  </si>
  <si>
    <t>Pořízení informační a výpočetní techniky</t>
  </si>
  <si>
    <t>Program. vybavení - modul událostí, přestupků, podatelny - MP</t>
  </si>
  <si>
    <t>Přenosné požární čerpadlo</t>
  </si>
  <si>
    <t>Radnice - kamerový systém</t>
  </si>
  <si>
    <t>SEV Sluňákov - informační systém</t>
  </si>
  <si>
    <t>Služební vozidlo pro odbor dopravy</t>
  </si>
  <si>
    <t>Skříňový trezor - výdej cestovních dokladů s biometrickými údaji</t>
  </si>
  <si>
    <t>Světelná informační tabule</t>
  </si>
  <si>
    <t>Tomkova ul., Mrštíkovo nám. - výkup pozemků</t>
  </si>
  <si>
    <t>TSMO, a. s. - Chválkovice - areál TSMO - odkup pozemků</t>
  </si>
  <si>
    <t xml:space="preserve">Výkup  pozemků </t>
  </si>
  <si>
    <t>Výkupy pozemků</t>
  </si>
  <si>
    <t>Výkupy pozemků v PZ Keplerova, Pavelkova</t>
  </si>
  <si>
    <t>Výkup  pozemků - výstavba přednádražního uzlu - ČD - III. etapa</t>
  </si>
  <si>
    <t>Rekonstrukce a dobudování stokové sítě města - ISPA II</t>
  </si>
  <si>
    <t>Zadávací pracoviště sirény - Varovný informační systém</t>
  </si>
  <si>
    <t>Vyvolávací zařízení pro odd. evidence motorových vozidel</t>
  </si>
  <si>
    <t>real. odbor agendy řidičů</t>
  </si>
  <si>
    <t>Mezisoučet</t>
  </si>
  <si>
    <t>III. Příspěvky a platby města jiným subjektům</t>
  </si>
  <si>
    <t>Aquapark - vklad do obchodní společnosti</t>
  </si>
  <si>
    <t>Aquapark - doplatek inž. sítí - GEMO s. r. o.</t>
  </si>
  <si>
    <t>realizuje odbor zdravotnictví                                     a soc. služeb</t>
  </si>
  <si>
    <t xml:space="preserve">DPMO, a. s. - BUS Solaris </t>
  </si>
  <si>
    <t xml:space="preserve">DPMO, a. s. - BUS velkokapacitní </t>
  </si>
  <si>
    <t>DPMO, a. s. - modernizace T3 SU na T3M</t>
  </si>
  <si>
    <t xml:space="preserve">DPMO, a. s. - tramvaj nízkopodlažní </t>
  </si>
  <si>
    <t>DPMO, a. s. - příspěvek na bezbariérové úpravy tramvajových ostrůvků - trasa C a E</t>
  </si>
  <si>
    <t>FK Holice - Hodolany - přístavba dvou šaten</t>
  </si>
  <si>
    <t>realizuje odbor vnějších vztahů                        a informací</t>
  </si>
  <si>
    <t>FN Olomouc, klinika anesteziologie a resustitace - projekt "Podání celkové anestezie přístrojem GE Datex - Ohmeda Cirrustrans"</t>
  </si>
  <si>
    <t>realizuje odbor zdravotnictví                                        a soc. služeb</t>
  </si>
  <si>
    <t>FN Olomouc, klinika nukleární medicíny - projekt "PET/CT kamera                      v PET centru FN Olomouc"</t>
  </si>
  <si>
    <t>realizuje odbor zdravotnictví                                           a soc. služeb</t>
  </si>
  <si>
    <t>FZŠ Holečkova - zřízení provozu studené kuchyně</t>
  </si>
  <si>
    <t>Moravské divadlo - nákup 3 ks klavírů</t>
  </si>
  <si>
    <t>realizuje ekonomický odbor</t>
  </si>
  <si>
    <t>Příspěvek pro FN Olomouc na nákup světelného zdroje pro endoskop. techniku II. Interní kliniky</t>
  </si>
  <si>
    <t>realizuje odbor zdravotnictví                                              a soc. služeb</t>
  </si>
  <si>
    <t>G centrum Olomouc, s.r.o. - projekt "Stop osteoporóze"</t>
  </si>
  <si>
    <t>JITRO Olomouc - bezbariérové úpravy</t>
  </si>
  <si>
    <t xml:space="preserve">HZS - automobilová požární cisterna </t>
  </si>
  <si>
    <t xml:space="preserve">MFO - oprava klimatizace </t>
  </si>
  <si>
    <t>Počítačová služba s.r.o. - bezbariérové úpravy</t>
  </si>
  <si>
    <t>realizuje odbor zdravotnictví                                         a soc. služeb</t>
  </si>
  <si>
    <t>Příspěvek Oblastní unii neslyšících - přístavba multifunkčního vzdělávacího centra</t>
  </si>
  <si>
    <t>Rolli - mobil s.r.o. - bezbariérové úpravy</t>
  </si>
  <si>
    <t>Římskokatolická farnost - kostel sv. Michala - rek. fasády</t>
  </si>
  <si>
    <t>Sdružená zařízení pro péči o dítě v Olomouci - projekt "Pořízení parního sterilizátoru STERIDENT"</t>
  </si>
  <si>
    <t>realizuje odbor zdravotnictví                              a soc. služeb</t>
  </si>
  <si>
    <t>SKI areál Hlubočky  - příspěvek na nákup zařízení času vč. světelné tabule</t>
  </si>
  <si>
    <t>SK Sigma, a.s., - Pozitivní diváctví a bezpečný stadion</t>
  </si>
  <si>
    <t>Středisko SOS Praskova ul. - rekonstrukce nebytových prostor</t>
  </si>
  <si>
    <t>Veslařský klub Olomouc - přísp. na pořízení veslař. trenažéru</t>
  </si>
  <si>
    <t>realizuje odbor vnějších vztahů                                           a informací</t>
  </si>
  <si>
    <t>Vodovod Pomoraví - členský inv. podíl svazku obcí</t>
  </si>
  <si>
    <t>real.odbor investic-záz.pol.026-ZBÚ</t>
  </si>
  <si>
    <t>Výstavba přednádražního uzlu II.a III. etapa</t>
  </si>
  <si>
    <t xml:space="preserve">Výstaviště Flora Olomouc, a. s. - Smetanovy sady - letní scéna </t>
  </si>
  <si>
    <t>real. odbor životního prostředí</t>
  </si>
  <si>
    <t>Výstaviště Flora Olomouc, a. s. - obnova mobiliáře a povrchů cestní sítě v olomouckých historických sadech</t>
  </si>
  <si>
    <t>ZOO Sv. Kopeček - kotelna na biomasu</t>
  </si>
  <si>
    <t>realizuje ekonomický odbor -                      v tom sponzor. dar města Luzern 934 543,17 Kč</t>
  </si>
  <si>
    <t xml:space="preserve">ZOO Sv. Kopeček - pavilon žiraf - rek. vyhlídky pro návštěvníky </t>
  </si>
  <si>
    <t>ZOO Sv. Kopeček - výběh pro malajské medvědy</t>
  </si>
  <si>
    <t>ZŠ Heyrovského, Olomouc - přísp. na nákup konvektomatu</t>
  </si>
  <si>
    <t>ZŠ Helsinská, Olomouc - umělý povrch hřiště</t>
  </si>
  <si>
    <t>MŠ Barevný svět Olomouc, Dělnická ul., zahradní domek</t>
  </si>
  <si>
    <t>ZŠ a MŠ Dvorského 33, Olomouc - Sv. Kopeček</t>
  </si>
  <si>
    <t>IV. Ostatní nákup dlouhodobého nehmotného majetku - realizuje odbor koncepce a rozvoje</t>
  </si>
  <si>
    <t>Aktualizace cenové mapy</t>
  </si>
  <si>
    <t>Analýza Povodeň 2006</t>
  </si>
  <si>
    <t>Aktualizace strategického plánu</t>
  </si>
  <si>
    <t xml:space="preserve">Ekologické parkování </t>
  </si>
  <si>
    <t>Infrastruktura pro modernizaci veřejné správy</t>
  </si>
  <si>
    <t>Model dopravy města Olomouce</t>
  </si>
  <si>
    <t>Objekt pro seniory</t>
  </si>
  <si>
    <t>Olomoucká akropole (Olomoucký hrad) - studie</t>
  </si>
  <si>
    <t>Olomoucká pevnost - vojenské muzeum</t>
  </si>
  <si>
    <t>Opatření dle generelu dopravy</t>
  </si>
  <si>
    <t>Parkovací objekt v centru</t>
  </si>
  <si>
    <t>Pořízení nového územního plánu</t>
  </si>
  <si>
    <t>Pořízení regulačního plánu Hněvotínská</t>
  </si>
  <si>
    <t>Pořízení změn regulačního plánu MPR</t>
  </si>
  <si>
    <t>Pořízení změn ÚPnSÚ</t>
  </si>
  <si>
    <t>Přip. lokality Pavelkova na kanalizaci vybud. z Fondu soudržnosti</t>
  </si>
  <si>
    <t>Přip. lokality U Panelárny na kanaliz. vybud. z Fondu soudržnosti</t>
  </si>
  <si>
    <t>Rozvojové materiály pro bydlení</t>
  </si>
  <si>
    <t>Studie proveditelnosti</t>
  </si>
  <si>
    <t>Studie rekonstrukce Zimního stadionu - Multifunkční hala</t>
  </si>
  <si>
    <t>Studie silniční sítě</t>
  </si>
  <si>
    <t>Telematické systémy</t>
  </si>
  <si>
    <t>Územně plánovací podklady</t>
  </si>
  <si>
    <t>V. Investiční akce z nájemného - SNO, a.s.</t>
  </si>
  <si>
    <t>Dolní nám. 38 - instalace termostat. ventilů</t>
  </si>
  <si>
    <t>Kosmonautů 12, 14, 16, 18, 20 - rekonstrukce bytových jader</t>
  </si>
  <si>
    <t>Kyselovská 74 - úprava nádvoří</t>
  </si>
  <si>
    <t>MŠ Žižkovo nám. 3 - rekonstrukce sociálního zařízení</t>
  </si>
  <si>
    <t>Na Střelnici 2 - instalace termostat. ventilů</t>
  </si>
  <si>
    <t>Na Trati 80 - Policie ČR, osazení TRV</t>
  </si>
  <si>
    <t>Peškova 1 - úprava nebytových prostor pro Charitu</t>
  </si>
  <si>
    <t>Přichystalova 66, 68 - zateplení objektu</t>
  </si>
  <si>
    <t>Slovenská ul. 5 - rekonstrukce fasády II. etapa</t>
  </si>
  <si>
    <t>Sokolská ul. 48 - Podané ruce - rekonstrukce prostor</t>
  </si>
  <si>
    <t>Žilinská ul. 10 /SPEA/ - instalace termostat. ventilů</t>
  </si>
  <si>
    <t>Statické zajištění obj. Horní nám. 21</t>
  </si>
  <si>
    <t>VI. Investiční akce z nájemného SMV, a.s.</t>
  </si>
  <si>
    <t>ČOV Ol - částečná  obnova technolog.  zařízení a staveb. úpravy</t>
  </si>
  <si>
    <t>Investiční rezerva</t>
  </si>
  <si>
    <t>Nové části a výměna vodovodních  přípojek</t>
  </si>
  <si>
    <t>Projektová dokumentace</t>
  </si>
  <si>
    <t>Realizace měřitelných okrsků - IV. etapa</t>
  </si>
  <si>
    <t xml:space="preserve">Rekonstr. olověných vodovodních přípojek </t>
  </si>
  <si>
    <t>Rekonstr. vod. řadu  v ul. Akademická</t>
  </si>
  <si>
    <t>Rekonstr. vod. řadu  v ul. Bezručova (DN 80, dl.104m, z r. 1889)</t>
  </si>
  <si>
    <t xml:space="preserve">Rekonstr. vod. řadu  v ul. Švermova </t>
  </si>
  <si>
    <t>Rekonstr. vod. řadu na Biskupském nám.</t>
  </si>
  <si>
    <t>Rekonstr. vod. řadu na tř. Spojenců</t>
  </si>
  <si>
    <t>Rekonstr. vod. řadu v ul. Aksamitova, U výpadu, Mich. stromořadí</t>
  </si>
  <si>
    <t>Rekonstr. vod. řadu v ul. Nerudova  spol. s kanalizací</t>
  </si>
  <si>
    <t>Rekonstrukce kanalizace P. Holého a bří. Wolfů</t>
  </si>
  <si>
    <t>Rekonstrukce kanalizace ul. Bulharská</t>
  </si>
  <si>
    <t xml:space="preserve">Rekonstrukce kanalizace v ul. Zamenhofova, Poupětova  </t>
  </si>
  <si>
    <t>Rekonstrukce stok v ul. Aksamitova</t>
  </si>
  <si>
    <t xml:space="preserve">Rekonstrukce stoky BVc v ul. Nerudova </t>
  </si>
  <si>
    <t xml:space="preserve">Rekonstrukce šachet a podchodu na ul. Polská </t>
  </si>
  <si>
    <t>Rekonstrukce vod. řadu ul. U stavu</t>
  </si>
  <si>
    <t>Rozšíření kanalizační. sítě v lokalitě Povel - Čtvrtky</t>
  </si>
  <si>
    <t>Rozšíření vodovod. sítě v lokalitě Povel - Čtvrtky</t>
  </si>
  <si>
    <t>Výměna uzávěrů na hl. vodovodních řadech v Olomouci</t>
  </si>
  <si>
    <t>Zaměřování stokové sítě - GIS</t>
  </si>
  <si>
    <t>Zaměřování vodovodní sítě a objektů na vodov. síti - GIS</t>
  </si>
  <si>
    <t>REKAPITULACE</t>
  </si>
  <si>
    <t>Investice MmOl</t>
  </si>
  <si>
    <t>celkem - I., II., III., IV.</t>
  </si>
  <si>
    <t>Investice SNO, a. s. z nájemného</t>
  </si>
  <si>
    <t>celkem - V.</t>
  </si>
  <si>
    <t>Investice SMV, a. s. z nájemného</t>
  </si>
  <si>
    <t>celkem - VI.</t>
  </si>
  <si>
    <t>MezisoučetSchválené investiční akce celkem</t>
  </si>
  <si>
    <t>Investice MmOl - služby peněžních ústavů - inv. akce EU</t>
  </si>
  <si>
    <t>položka 5163</t>
  </si>
  <si>
    <t>Schválené investiční akce celkem + služby peněžních ústavů</t>
  </si>
  <si>
    <r>
      <t>ÚZ 250</t>
    </r>
    <r>
      <rPr>
        <sz val="10"/>
        <rFont val="Arial CE"/>
        <family val="2"/>
      </rPr>
      <t xml:space="preserve"> - přísp. obce Samotišky</t>
    </r>
  </si>
  <si>
    <r>
      <t>ÚZ 14671</t>
    </r>
    <r>
      <rPr>
        <sz val="10"/>
        <rFont val="Arial CE"/>
        <family val="2"/>
      </rPr>
      <t xml:space="preserve"> realizuje odbor ochrany - přesunuto do r. 2007</t>
    </r>
  </si>
  <si>
    <r>
      <t>ÚZ 17778</t>
    </r>
    <r>
      <rPr>
        <sz val="10"/>
        <rFont val="Arial CE"/>
        <family val="2"/>
      </rPr>
      <t xml:space="preserve"> - real. odbor invest.</t>
    </r>
  </si>
  <si>
    <r>
      <t xml:space="preserve">ÚZ 98069 </t>
    </r>
    <r>
      <rPr>
        <sz val="10"/>
        <rFont val="Arial CE"/>
        <family val="2"/>
      </rPr>
      <t>- real. odbor správy</t>
    </r>
  </si>
  <si>
    <t>schválený rozpočet</t>
  </si>
  <si>
    <t>upravený rozpočet</t>
  </si>
  <si>
    <t>skutečnost</t>
  </si>
  <si>
    <t>čerpané úvěry (krátkodobé + dlouhodobé)</t>
  </si>
  <si>
    <t>přechodný účetní stav - nerealizované kurzové rozdíly</t>
  </si>
  <si>
    <t>rozdíl mezi počátečními a konečnými stavy  na bank. účtech ***</t>
  </si>
  <si>
    <t>CELKEM  (A)</t>
  </si>
  <si>
    <t>***</t>
  </si>
  <si>
    <t>počáteční stav</t>
  </si>
  <si>
    <t>konečný stav</t>
  </si>
  <si>
    <t>změna stavu</t>
  </si>
  <si>
    <t>základní běžný účet</t>
  </si>
  <si>
    <t>účel. fondy (FRB, soc. fond)</t>
  </si>
  <si>
    <t>běžné účty celkem</t>
  </si>
  <si>
    <t>splátky úvěrů</t>
  </si>
  <si>
    <t>Komerční banka, a. s.</t>
  </si>
  <si>
    <t>Česká spořitelna, a. s.</t>
  </si>
  <si>
    <t>MF ČR - Čistírna odpadních vod</t>
  </si>
  <si>
    <t>MF ČR - kanalizace Holice</t>
  </si>
  <si>
    <t>SFŽP ČR - rekultivace skládky Grygov</t>
  </si>
  <si>
    <t>Středomoravská vodárenská, a. s.</t>
  </si>
  <si>
    <t>MF ČR - návratná fin. výpomoc - Fond rozvoje bydlení</t>
  </si>
  <si>
    <t>CELKEM  (B)</t>
  </si>
  <si>
    <t xml:space="preserve">Tř. 8 - </t>
  </si>
  <si>
    <t>FINANCOVÁNÍ CELKEM (A + B)</t>
  </si>
  <si>
    <t xml:space="preserve">667.000.000 Kč        </t>
  </si>
  <si>
    <t>nesplacené bankovní úvěry od ČS,a.s. , KB,a.s. a  Kommunalkredit Austria AG</t>
  </si>
  <si>
    <t xml:space="preserve">16.890.000,00 Kč     </t>
  </si>
  <si>
    <t>návratná fin. výpomoc od MF ČR na čistírnu odpadních vod</t>
  </si>
  <si>
    <t xml:space="preserve">164.705.000,00 Kč   </t>
  </si>
  <si>
    <t>úvěr od Středomoravské vodárenské a. s.</t>
  </si>
  <si>
    <t xml:space="preserve">4.179.308,50 Kč       </t>
  </si>
  <si>
    <t>návratná fin. výpomoc od MF ČR na akci Kanalizace - Holice - připojení na ČOV</t>
  </si>
  <si>
    <t xml:space="preserve">4.160.000,00 Kč       </t>
  </si>
  <si>
    <t>úročená půjčka od Stát. fondu životního prostředí na akci Rekultivace skládky TKO Grygov</t>
  </si>
  <si>
    <t xml:space="preserve">15.272.855,- Kč       </t>
  </si>
  <si>
    <t>úročená půjčka od Stát.fondu životního prostředí na akci   ISPA</t>
  </si>
  <si>
    <t xml:space="preserve">65.409.000,00 Kč    </t>
  </si>
  <si>
    <t>návratná fin výpomoc - FRB</t>
  </si>
  <si>
    <r>
      <t xml:space="preserve">Součástí </t>
    </r>
    <r>
      <rPr>
        <b/>
        <sz val="10"/>
        <rFont val="Arial Narrow"/>
        <family val="2"/>
      </rPr>
      <t>příjmů</t>
    </r>
    <r>
      <rPr>
        <sz val="10"/>
        <rFont val="Arial Narrow"/>
        <family val="2"/>
      </rPr>
      <t xml:space="preserve"> města Olomouce je část tř. 8 - financování v celkové sumě 253.834.538,36 Kč. Tuto částku tvoří:</t>
    </r>
  </si>
  <si>
    <r>
      <t xml:space="preserve">Součástí </t>
    </r>
    <r>
      <rPr>
        <b/>
        <sz val="10"/>
        <rFont val="Arial Narrow"/>
        <family val="2"/>
      </rPr>
      <t>výdajů</t>
    </r>
    <r>
      <rPr>
        <sz val="10"/>
        <rFont val="Arial Narrow"/>
        <family val="2"/>
      </rPr>
      <t xml:space="preserve"> města Olomouce je část tř. 8 - financování v celkové sumě 100.915.900,-- Kč. Tuto částku tvoří:</t>
    </r>
  </si>
  <si>
    <r>
      <t xml:space="preserve">Celková zadluženost města Olomouce k 31. 12. 2006 (bez úroků) činí </t>
    </r>
    <r>
      <rPr>
        <b/>
        <sz val="10"/>
        <rFont val="Arial Narrow"/>
        <family val="2"/>
      </rPr>
      <t>937.616.163,50</t>
    </r>
    <r>
      <rPr>
        <sz val="10"/>
        <rFont val="Arial Narrow"/>
        <family val="2"/>
      </rPr>
      <t xml:space="preserve"> Kč. Z toho:                                                                                                                                                                  </t>
    </r>
  </si>
  <si>
    <t>Schválený rozpočet                              roku 2006</t>
  </si>
  <si>
    <t>Upravený rozpočet                                        k 11. 12. 2006</t>
  </si>
  <si>
    <t>Upravený rozpočet                                        k 27. 12. 2006</t>
  </si>
  <si>
    <t>Čerpání                                                      k 31. 12. 2006</t>
  </si>
  <si>
    <t>01 - kancelář primátora</t>
  </si>
  <si>
    <t>02 - odbor investic</t>
  </si>
  <si>
    <t>03 - odbor koncepce a rozvoje</t>
  </si>
  <si>
    <t>04 - odbor živnostenský</t>
  </si>
  <si>
    <t>05 - odbor ekonomický</t>
  </si>
  <si>
    <t>06 - odbor vn. auditu a kontroly</t>
  </si>
  <si>
    <t>08 - odbor agendy řidičů a motor. vozidel</t>
  </si>
  <si>
    <t>10 - stavební odbor</t>
  </si>
  <si>
    <t>11 - odbor vn. vztahů a informací</t>
  </si>
  <si>
    <t>13 - odbor informatiky</t>
  </si>
  <si>
    <t xml:space="preserve">14 - odbor školství              </t>
  </si>
  <si>
    <t>15 - odbor sociální pomoci</t>
  </si>
  <si>
    <t>20 - Městská policie</t>
  </si>
  <si>
    <t>35 - odbor soc. služeb a zdravotnictví</t>
  </si>
  <si>
    <t>41 - majetkoprávní odbor</t>
  </si>
  <si>
    <t>Odbory celkem</t>
  </si>
  <si>
    <t xml:space="preserve">999 - výdaje účelových fondů </t>
  </si>
  <si>
    <t>v upraveném rozpočtu účelově vázána vratka MMR ČR                                     ve výši 65.409 tis. Kč (dva fondy rozvoje bydlení)</t>
  </si>
  <si>
    <t>70 - příspěvkové organizace</t>
  </si>
  <si>
    <t>vrácené DPH</t>
  </si>
  <si>
    <t>celkem tř.5:</t>
  </si>
  <si>
    <t>očekávané vratky st. dotací</t>
  </si>
  <si>
    <t>převody na depozitní účet</t>
  </si>
  <si>
    <t>Celkem provozní výdaje</t>
  </si>
  <si>
    <t>investice</t>
  </si>
  <si>
    <t>skutečnost DPH se účtuje na provozní položce</t>
  </si>
  <si>
    <t>DPH u investičních akcí</t>
  </si>
  <si>
    <t>u investic se skutečnost DPH účtuje na provoz. položce, rozpočtována je však v investicích</t>
  </si>
  <si>
    <t>investiční akce EU - služby pen. ústavů</t>
  </si>
  <si>
    <t>Celkem investice</t>
  </si>
  <si>
    <t>CELKEM VÝDAJE  třídy 5 + třídy 6</t>
  </si>
</sst>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0\ _K_č"/>
    <numFmt numFmtId="166" formatCode="#\ ###\ ###\ ###"/>
    <numFmt numFmtId="167" formatCode="#,##0.0"/>
    <numFmt numFmtId="168" formatCode="d/m\."/>
    <numFmt numFmtId="169" formatCode="#,##0_ ;[Red]\-#,##0\ "/>
    <numFmt numFmtId="170" formatCode="#,##0.000"/>
    <numFmt numFmtId="171" formatCode="#,##0\ &quot;Kč&quot;"/>
    <numFmt numFmtId="172" formatCode="#,##0.00_ ;\-#,##0.00\ "/>
    <numFmt numFmtId="173" formatCode="#,##0_ ;\-#,##0\ "/>
    <numFmt numFmtId="174" formatCode="_-* #,##0.0\ _K_č_-;\-* #,##0.0\ _K_č_-;_-* &quot;-&quot;??\ _K_č_-;_-@_-"/>
    <numFmt numFmtId="175" formatCode="_-* #,##0\ _K_č_-;\-* #,##0\ _K_č_-;_-* &quot;-&quot;??\ _K_č_-;_-@_-"/>
    <numFmt numFmtId="176" formatCode="0.0"/>
    <numFmt numFmtId="177" formatCode="#,##0.0000"/>
    <numFmt numFmtId="178" formatCode="#,##0.00000"/>
    <numFmt numFmtId="179" formatCode="&quot;Kč&quot;#,##0_);\(&quot;Kč&quot;#,##0\)"/>
    <numFmt numFmtId="180" formatCode="&quot;Kč&quot;#,##0_);[Red]\(&quot;Kč&quot;#,##0\)"/>
    <numFmt numFmtId="181" formatCode="&quot;Kč&quot;#,##0.00_);\(&quot;Kč&quot;#,##0.00\)"/>
    <numFmt numFmtId="182" formatCode="&quot;Kč&quot;#,##0.00_);[Red]\(&quot;Kč&quot;#,##0.00\)"/>
    <numFmt numFmtId="183" formatCode="_(&quot;Kč&quot;* #,##0_);_(&quot;Kč&quot;* \(#,##0\);_(&quot;Kč&quot;* &quot;-&quot;_);_(@_)"/>
    <numFmt numFmtId="184" formatCode="_(* #,##0_);_(* \(#,##0\);_(* &quot;-&quot;_);_(@_)"/>
    <numFmt numFmtId="185" formatCode="_(&quot;Kč&quot;* #,##0.00_);_(&quot;Kč&quot;* \(#,##0.00\);_(&quot;Kč&quot;* &quot;-&quot;??_);_(@_)"/>
    <numFmt numFmtId="186" formatCode="_(* #,##0.00_);_(* \(#,##0.00\);_(* &quot;-&quot;??_);_(@_)"/>
    <numFmt numFmtId="187" formatCode="0;[Red]0"/>
    <numFmt numFmtId="188" formatCode="#,##0.000000"/>
    <numFmt numFmtId="189" formatCode="#,##0.0000000"/>
    <numFmt numFmtId="190" formatCode="0.0%"/>
    <numFmt numFmtId="191" formatCode="0_ ;[Red]\-0\ "/>
    <numFmt numFmtId="192" formatCode="000\ 00"/>
    <numFmt numFmtId="193" formatCode="#.##0,"/>
    <numFmt numFmtId="194" formatCode="#.##00,"/>
    <numFmt numFmtId="195" formatCode="#.##,"/>
    <numFmt numFmtId="196" formatCode="#.#,"/>
    <numFmt numFmtId="197" formatCode="#,"/>
    <numFmt numFmtId="198" formatCode="#,###,"/>
    <numFmt numFmtId="199" formatCode="&quot;Yes&quot;;&quot;Yes&quot;;&quot;No&quot;"/>
    <numFmt numFmtId="200" formatCode="&quot;True&quot;;&quot;True&quot;;&quot;False&quot;"/>
    <numFmt numFmtId="201" formatCode="&quot;On&quot;;&quot;On&quot;;&quot;Off&quot;"/>
    <numFmt numFmtId="202" formatCode="_-* #,##0.000\ _K_č_-;\-* #,##0.000\ _K_č_-;_-* &quot;-&quot;??\ _K_č_-;_-@_-"/>
    <numFmt numFmtId="203" formatCode="#,##0.0_ ;\-#,##0.0\ "/>
    <numFmt numFmtId="204" formatCode="#,##0,\x"/>
    <numFmt numFmtId="205" formatCode="#,##0.00\ _K_č"/>
    <numFmt numFmtId="206" formatCode="d/m"/>
    <numFmt numFmtId="207" formatCode="dd/mm/yy"/>
  </numFmts>
  <fonts count="49">
    <font>
      <sz val="10"/>
      <name val="Arial CE"/>
      <family val="0"/>
    </font>
    <font>
      <b/>
      <sz val="10"/>
      <name val="Arial CE"/>
      <family val="0"/>
    </font>
    <font>
      <i/>
      <sz val="10"/>
      <name val="Arial CE"/>
      <family val="0"/>
    </font>
    <font>
      <b/>
      <i/>
      <sz val="10"/>
      <name val="Arial CE"/>
      <family val="0"/>
    </font>
    <font>
      <u val="single"/>
      <sz val="7.5"/>
      <color indexed="12"/>
      <name val="Arial CE"/>
      <family val="0"/>
    </font>
    <font>
      <u val="single"/>
      <sz val="7.5"/>
      <color indexed="36"/>
      <name val="Arial CE"/>
      <family val="0"/>
    </font>
    <font>
      <sz val="8"/>
      <name val="Arial CE"/>
      <family val="0"/>
    </font>
    <font>
      <sz val="8"/>
      <name val="Arial Narrow"/>
      <family val="2"/>
    </font>
    <font>
      <sz val="10"/>
      <name val="Arial Narrow"/>
      <family val="2"/>
    </font>
    <font>
      <b/>
      <sz val="8"/>
      <name val="Arial Narrow"/>
      <family val="2"/>
    </font>
    <font>
      <sz val="8"/>
      <color indexed="14"/>
      <name val="Arial Narrow"/>
      <family val="2"/>
    </font>
    <font>
      <b/>
      <sz val="8"/>
      <color indexed="14"/>
      <name val="Arial Narrow"/>
      <family val="2"/>
    </font>
    <font>
      <b/>
      <sz val="8"/>
      <color indexed="12"/>
      <name val="Arial Narrow"/>
      <family val="2"/>
    </font>
    <font>
      <b/>
      <sz val="10"/>
      <name val="Arial Narrow"/>
      <family val="2"/>
    </font>
    <font>
      <b/>
      <sz val="9"/>
      <name val="Arial Narrow"/>
      <family val="2"/>
    </font>
    <font>
      <b/>
      <sz val="9"/>
      <color indexed="10"/>
      <name val="Arial Narrow"/>
      <family val="2"/>
    </font>
    <font>
      <b/>
      <sz val="8"/>
      <name val="Arial CE"/>
      <family val="2"/>
    </font>
    <font>
      <b/>
      <sz val="11"/>
      <name val="Arial Narrow"/>
      <family val="2"/>
    </font>
    <font>
      <sz val="11"/>
      <name val="Arial Narrow"/>
      <family val="2"/>
    </font>
    <font>
      <sz val="7"/>
      <name val="Arial Narrow"/>
      <family val="2"/>
    </font>
    <font>
      <b/>
      <sz val="7"/>
      <name val="Arial Narrow"/>
      <family val="2"/>
    </font>
    <font>
      <b/>
      <sz val="8"/>
      <color indexed="10"/>
      <name val="Arial Narrow"/>
      <family val="2"/>
    </font>
    <font>
      <b/>
      <sz val="12"/>
      <name val="Arial CE"/>
      <family val="2"/>
    </font>
    <font>
      <sz val="12"/>
      <name val="Arial CE"/>
      <family val="2"/>
    </font>
    <font>
      <sz val="10"/>
      <color indexed="10"/>
      <name val="Arial CE"/>
      <family val="2"/>
    </font>
    <font>
      <sz val="12"/>
      <name val="Times New Roman CE"/>
      <family val="1"/>
    </font>
    <font>
      <sz val="10"/>
      <color indexed="10"/>
      <name val="Arial Narrow"/>
      <family val="2"/>
    </font>
    <font>
      <sz val="9"/>
      <name val="Arial Narrow"/>
      <family val="2"/>
    </font>
    <font>
      <b/>
      <sz val="12"/>
      <name val="Arial Narrow"/>
      <family val="2"/>
    </font>
    <font>
      <sz val="12"/>
      <name val="Arial Narrow"/>
      <family val="2"/>
    </font>
    <font>
      <sz val="9"/>
      <color indexed="8"/>
      <name val="Arial Narrow"/>
      <family val="2"/>
    </font>
    <font>
      <b/>
      <sz val="14"/>
      <name val="Arial Narrow"/>
      <family val="2"/>
    </font>
    <font>
      <b/>
      <sz val="10"/>
      <color indexed="10"/>
      <name val="Arial Narrow"/>
      <family val="2"/>
    </font>
    <font>
      <b/>
      <sz val="12"/>
      <color indexed="10"/>
      <name val="Arial Narrow"/>
      <family val="2"/>
    </font>
    <font>
      <b/>
      <sz val="7"/>
      <name val="Arial CE"/>
      <family val="2"/>
    </font>
    <font>
      <sz val="7"/>
      <name val="Arial CE"/>
      <family val="2"/>
    </font>
    <font>
      <sz val="8"/>
      <color indexed="8"/>
      <name val="Arial CE"/>
      <family val="2"/>
    </font>
    <font>
      <sz val="9"/>
      <name val="Arial CE"/>
      <family val="2"/>
    </font>
    <font>
      <b/>
      <i/>
      <sz val="9"/>
      <name val="Arial CE"/>
      <family val="2"/>
    </font>
    <font>
      <b/>
      <i/>
      <sz val="8"/>
      <name val="Arial CE"/>
      <family val="2"/>
    </font>
    <font>
      <b/>
      <sz val="9"/>
      <name val="Arial CE"/>
      <family val="0"/>
    </font>
    <font>
      <sz val="10"/>
      <color indexed="12"/>
      <name val="Arial CE"/>
      <family val="2"/>
    </font>
    <font>
      <vertAlign val="superscript"/>
      <sz val="10"/>
      <name val="Arial CE"/>
      <family val="2"/>
    </font>
    <font>
      <sz val="9"/>
      <color indexed="10"/>
      <name val="Arial CE"/>
      <family val="2"/>
    </font>
    <font>
      <vertAlign val="superscript"/>
      <sz val="9"/>
      <name val="Arial CE"/>
      <family val="2"/>
    </font>
    <font>
      <i/>
      <sz val="10"/>
      <name val="Times New Roman"/>
      <family val="1"/>
    </font>
    <font>
      <b/>
      <sz val="10"/>
      <color indexed="10"/>
      <name val="Arial CE"/>
      <family val="2"/>
    </font>
    <font>
      <sz val="12"/>
      <name val="Times New Roman"/>
      <family val="1"/>
    </font>
    <font>
      <u val="single"/>
      <sz val="12"/>
      <name val="Times New Roman"/>
      <family val="1"/>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s>
  <borders count="83">
    <border>
      <left/>
      <right/>
      <top/>
      <bottom/>
      <diagonal/>
    </border>
    <border>
      <left style="thin"/>
      <right style="thin"/>
      <top style="thin"/>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style="thin"/>
      <top style="medium"/>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medium"/>
    </border>
    <border>
      <left>
        <color indexed="63"/>
      </left>
      <right style="medium"/>
      <top style="medium"/>
      <bottom style="medium"/>
    </border>
    <border>
      <left style="medium"/>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color indexed="63"/>
      </left>
      <right style="medium"/>
      <top>
        <color indexed="63"/>
      </top>
      <bottom style="thin"/>
    </border>
    <border>
      <left style="medium"/>
      <right>
        <color indexed="63"/>
      </right>
      <top style="thin"/>
      <bottom style="double"/>
    </border>
    <border>
      <left>
        <color indexed="63"/>
      </left>
      <right style="thin"/>
      <top style="thin"/>
      <bottom style="double"/>
    </border>
    <border>
      <left>
        <color indexed="63"/>
      </left>
      <right style="thin"/>
      <top>
        <color indexed="63"/>
      </top>
      <bottom style="double"/>
    </border>
    <border>
      <left>
        <color indexed="63"/>
      </left>
      <right style="medium"/>
      <top>
        <color indexed="63"/>
      </top>
      <bottom style="double"/>
    </border>
    <border>
      <left style="thin"/>
      <right style="thin"/>
      <top style="double"/>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color indexed="63"/>
      </top>
      <bottom style="thin"/>
    </border>
    <border>
      <left style="medium"/>
      <right style="medium"/>
      <top style="medium"/>
      <bottom>
        <color indexed="63"/>
      </bottom>
    </border>
    <border>
      <left>
        <color indexed="63"/>
      </left>
      <right>
        <color indexed="63"/>
      </right>
      <top>
        <color indexed="63"/>
      </top>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thin"/>
      <top>
        <color indexed="63"/>
      </top>
      <bottom style="medium"/>
    </border>
    <border>
      <left style="thin"/>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833">
    <xf numFmtId="0" fontId="0" fillId="0" borderId="0" xfId="0" applyAlignment="1">
      <alignment/>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3" xfId="0" applyFont="1" applyFill="1" applyBorder="1" applyAlignment="1">
      <alignment horizontal="center" vertical="center"/>
    </xf>
    <xf numFmtId="0" fontId="7" fillId="0" borderId="0" xfId="0" applyFont="1" applyFill="1" applyBorder="1" applyAlignment="1">
      <alignment vertical="center"/>
    </xf>
    <xf numFmtId="4" fontId="7" fillId="0" borderId="4" xfId="0" applyNumberFormat="1" applyFont="1" applyFill="1" applyBorder="1" applyAlignment="1">
      <alignment vertical="center"/>
    </xf>
    <xf numFmtId="4" fontId="7" fillId="0" borderId="0" xfId="0" applyNumberFormat="1" applyFont="1" applyFill="1" applyBorder="1" applyAlignment="1">
      <alignment vertical="center"/>
    </xf>
    <xf numFmtId="0" fontId="7" fillId="0" borderId="5" xfId="0" applyFont="1" applyFill="1" applyBorder="1" applyAlignment="1">
      <alignment vertical="center"/>
    </xf>
    <xf numFmtId="0" fontId="8" fillId="0" borderId="0" xfId="0" applyFont="1" applyFill="1" applyAlignment="1">
      <alignment vertical="center"/>
    </xf>
    <xf numFmtId="0" fontId="7" fillId="0" borderId="5" xfId="0" applyFont="1" applyFill="1" applyBorder="1" applyAlignment="1">
      <alignment vertical="center" wrapText="1"/>
    </xf>
    <xf numFmtId="4" fontId="7" fillId="0" borderId="6" xfId="0" applyNumberFormat="1" applyFont="1" applyFill="1" applyBorder="1" applyAlignment="1">
      <alignment vertical="center"/>
    </xf>
    <xf numFmtId="0" fontId="9" fillId="3" borderId="7" xfId="0" applyFont="1" applyFill="1" applyBorder="1" applyAlignment="1">
      <alignment vertical="center"/>
    </xf>
    <xf numFmtId="4" fontId="9" fillId="3" borderId="8" xfId="0" applyNumberFormat="1" applyFont="1" applyFill="1" applyBorder="1" applyAlignment="1">
      <alignment vertical="center"/>
    </xf>
    <xf numFmtId="3" fontId="8" fillId="0" borderId="0" xfId="0" applyNumberFormat="1" applyFont="1" applyFill="1" applyAlignment="1">
      <alignment vertical="center"/>
    </xf>
    <xf numFmtId="4" fontId="7" fillId="0" borderId="9" xfId="0" applyNumberFormat="1" applyFont="1" applyFill="1" applyBorder="1" applyAlignment="1">
      <alignment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9" fillId="0" borderId="5" xfId="0" applyFont="1" applyFill="1" applyBorder="1" applyAlignment="1">
      <alignment vertical="center"/>
    </xf>
    <xf numFmtId="0" fontId="9" fillId="4" borderId="7" xfId="0" applyFont="1" applyFill="1" applyBorder="1" applyAlignment="1">
      <alignment vertical="center"/>
    </xf>
    <xf numFmtId="4" fontId="9" fillId="4" borderId="8" xfId="0" applyNumberFormat="1" applyFont="1" applyFill="1" applyBorder="1" applyAlignment="1">
      <alignment vertical="center"/>
    </xf>
    <xf numFmtId="0" fontId="12" fillId="0" borderId="5" xfId="0" applyFont="1" applyFill="1" applyBorder="1" applyAlignment="1">
      <alignment vertical="center"/>
    </xf>
    <xf numFmtId="3" fontId="7" fillId="0" borderId="5" xfId="0" applyNumberFormat="1" applyFont="1" applyFill="1" applyBorder="1" applyAlignment="1">
      <alignment vertical="center" wrapText="1"/>
    </xf>
    <xf numFmtId="0" fontId="8" fillId="0" borderId="0" xfId="0" applyFont="1" applyFill="1" applyAlignment="1">
      <alignment vertical="top"/>
    </xf>
    <xf numFmtId="0" fontId="9" fillId="0" borderId="5" xfId="0" applyFont="1" applyFill="1" applyBorder="1" applyAlignment="1">
      <alignment vertical="center" wrapText="1"/>
    </xf>
    <xf numFmtId="0" fontId="7" fillId="0" borderId="10" xfId="0" applyFont="1" applyFill="1" applyBorder="1" applyAlignment="1">
      <alignment horizontal="center" vertical="center"/>
    </xf>
    <xf numFmtId="0" fontId="13" fillId="5" borderId="8" xfId="0" applyFont="1" applyFill="1" applyBorder="1" applyAlignment="1">
      <alignment vertical="center"/>
    </xf>
    <xf numFmtId="4" fontId="14" fillId="5" borderId="8" xfId="0" applyNumberFormat="1" applyFont="1" applyFill="1" applyBorder="1" applyAlignment="1">
      <alignment horizontal="right" vertical="center"/>
    </xf>
    <xf numFmtId="4" fontId="14" fillId="5" borderId="8" xfId="0" applyNumberFormat="1" applyFont="1" applyFill="1" applyBorder="1" applyAlignment="1">
      <alignment vertical="center"/>
    </xf>
    <xf numFmtId="0" fontId="7" fillId="0" borderId="0" xfId="0" applyFont="1" applyFill="1" applyBorder="1" applyAlignment="1">
      <alignment horizontal="center" vertical="center"/>
    </xf>
    <xf numFmtId="0" fontId="13" fillId="0" borderId="0" xfId="0" applyFont="1" applyFill="1" applyBorder="1" applyAlignment="1">
      <alignment vertical="center"/>
    </xf>
    <xf numFmtId="4" fontId="14" fillId="0"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0" fillId="0" borderId="11" xfId="0" applyBorder="1" applyAlignment="1">
      <alignment vertical="center" wrapText="1"/>
    </xf>
    <xf numFmtId="0" fontId="7" fillId="0" borderId="12" xfId="0" applyFont="1" applyFill="1" applyBorder="1" applyAlignment="1">
      <alignment vertical="center" wrapText="1"/>
    </xf>
    <xf numFmtId="0" fontId="9" fillId="0" borderId="0" xfId="0" applyFont="1" applyFill="1" applyAlignment="1">
      <alignment vertical="center"/>
    </xf>
    <xf numFmtId="0" fontId="7" fillId="0" borderId="0" xfId="0" applyFont="1" applyFill="1" applyAlignment="1">
      <alignment horizontal="center" vertical="center"/>
    </xf>
    <xf numFmtId="3" fontId="7" fillId="0" borderId="0" xfId="0" applyNumberFormat="1" applyFont="1" applyFill="1" applyAlignment="1">
      <alignment horizontal="right" vertical="center"/>
    </xf>
    <xf numFmtId="0" fontId="7" fillId="0" borderId="0" xfId="0" applyFont="1" applyFill="1" applyAlignment="1">
      <alignment vertical="center" wrapText="1"/>
    </xf>
    <xf numFmtId="0" fontId="8" fillId="0" borderId="0" xfId="0" applyFont="1" applyFill="1" applyAlignment="1">
      <alignment horizontal="center" vertical="center"/>
    </xf>
    <xf numFmtId="3" fontId="8" fillId="6" borderId="13" xfId="0" applyNumberFormat="1" applyFont="1" applyFill="1" applyBorder="1" applyAlignment="1">
      <alignment horizontal="center" vertical="center" wrapText="1"/>
    </xf>
    <xf numFmtId="43" fontId="6" fillId="6" borderId="1" xfId="0" applyNumberFormat="1" applyFont="1" applyFill="1" applyBorder="1" applyAlignment="1">
      <alignment horizontal="center" vertical="center" wrapText="1"/>
    </xf>
    <xf numFmtId="0" fontId="8" fillId="0" borderId="14" xfId="0" applyFont="1" applyFill="1" applyBorder="1" applyAlignment="1">
      <alignment vertical="center"/>
    </xf>
    <xf numFmtId="0" fontId="8" fillId="0" borderId="15" xfId="0" applyFont="1" applyFill="1" applyBorder="1" applyAlignment="1">
      <alignment vertical="center"/>
    </xf>
    <xf numFmtId="4" fontId="8" fillId="0" borderId="16" xfId="0" applyNumberFormat="1" applyFont="1" applyFill="1" applyBorder="1" applyAlignment="1">
      <alignment vertical="center"/>
    </xf>
    <xf numFmtId="43" fontId="8" fillId="0" borderId="16" xfId="0" applyNumberFormat="1" applyFont="1" applyFill="1" applyBorder="1" applyAlignment="1">
      <alignment vertical="center"/>
    </xf>
    <xf numFmtId="3" fontId="8" fillId="0" borderId="11" xfId="0" applyNumberFormat="1" applyFont="1" applyFill="1" applyBorder="1" applyAlignment="1">
      <alignmen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3" fontId="8" fillId="0" borderId="19" xfId="0" applyNumberFormat="1" applyFont="1" applyFill="1" applyBorder="1" applyAlignment="1">
      <alignment vertical="center"/>
    </xf>
    <xf numFmtId="3" fontId="8" fillId="0" borderId="19" xfId="0" applyNumberFormat="1" applyFont="1" applyFill="1" applyBorder="1" applyAlignment="1">
      <alignment vertical="center" wrapText="1"/>
    </xf>
    <xf numFmtId="0" fontId="13" fillId="6" borderId="20" xfId="0" applyFont="1" applyFill="1" applyBorder="1" applyAlignment="1">
      <alignment vertical="center"/>
    </xf>
    <xf numFmtId="0" fontId="13" fillId="6" borderId="21" xfId="0" applyFont="1" applyFill="1" applyBorder="1" applyAlignment="1">
      <alignment vertical="center"/>
    </xf>
    <xf numFmtId="4" fontId="13" fillId="6" borderId="13" xfId="0" applyNumberFormat="1" applyFont="1" applyFill="1" applyBorder="1" applyAlignment="1">
      <alignment vertical="center"/>
    </xf>
    <xf numFmtId="43" fontId="13" fillId="6" borderId="13" xfId="0" applyNumberFormat="1" applyFont="1" applyFill="1" applyBorder="1" applyAlignment="1">
      <alignment vertical="center"/>
    </xf>
    <xf numFmtId="172" fontId="13" fillId="6" borderId="13" xfId="0" applyNumberFormat="1" applyFont="1" applyFill="1" applyBorder="1" applyAlignment="1">
      <alignment vertical="center"/>
    </xf>
    <xf numFmtId="3" fontId="8" fillId="6" borderId="22" xfId="0" applyNumberFormat="1" applyFont="1" applyFill="1" applyBorder="1" applyAlignment="1">
      <alignment vertical="center"/>
    </xf>
    <xf numFmtId="3" fontId="13" fillId="0" borderId="0" xfId="0" applyNumberFormat="1" applyFont="1" applyFill="1" applyBorder="1" applyAlignment="1">
      <alignment vertical="center"/>
    </xf>
    <xf numFmtId="43" fontId="8" fillId="0" borderId="0" xfId="0" applyNumberFormat="1" applyFont="1" applyFill="1" applyBorder="1" applyAlignment="1">
      <alignment vertical="center"/>
    </xf>
    <xf numFmtId="43" fontId="8" fillId="0" borderId="0" xfId="0" applyNumberFormat="1" applyFont="1" applyFill="1" applyAlignment="1">
      <alignment vertical="center"/>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4" fontId="7" fillId="6" borderId="25" xfId="0" applyNumberFormat="1" applyFont="1" applyFill="1" applyBorder="1" applyAlignment="1">
      <alignment horizontal="center" vertical="center" wrapText="1"/>
    </xf>
    <xf numFmtId="4" fontId="7" fillId="6" borderId="26" xfId="0" applyNumberFormat="1" applyFont="1" applyFill="1" applyBorder="1" applyAlignment="1">
      <alignment horizontal="center" vertical="center" wrapText="1"/>
    </xf>
    <xf numFmtId="0" fontId="8" fillId="0" borderId="0" xfId="0" applyFont="1" applyFill="1" applyBorder="1" applyAlignment="1">
      <alignment vertical="center"/>
    </xf>
    <xf numFmtId="0" fontId="7" fillId="0" borderId="27" xfId="0" applyFont="1" applyFill="1" applyBorder="1" applyAlignment="1">
      <alignment vertical="center" wrapText="1"/>
    </xf>
    <xf numFmtId="0" fontId="7" fillId="0" borderId="1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lignment vertical="center"/>
    </xf>
    <xf numFmtId="4" fontId="7" fillId="0" borderId="29" xfId="0" applyNumberFormat="1" applyFont="1" applyFill="1" applyBorder="1" applyAlignment="1">
      <alignment vertical="center"/>
    </xf>
    <xf numFmtId="4" fontId="7" fillId="0" borderId="30" xfId="0" applyNumberFormat="1" applyFont="1" applyFill="1" applyBorder="1" applyAlignment="1">
      <alignment vertical="center"/>
    </xf>
    <xf numFmtId="4" fontId="0" fillId="0" borderId="1" xfId="0" applyNumberFormat="1" applyBorder="1" applyAlignment="1">
      <alignment vertical="center"/>
    </xf>
    <xf numFmtId="4" fontId="0" fillId="0" borderId="31" xfId="0" applyNumberFormat="1" applyBorder="1" applyAlignment="1">
      <alignment vertical="center"/>
    </xf>
    <xf numFmtId="0" fontId="0" fillId="0" borderId="30" xfId="0" applyBorder="1" applyAlignment="1">
      <alignment vertical="center"/>
    </xf>
    <xf numFmtId="0" fontId="7" fillId="0" borderId="1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4" fontId="7" fillId="0" borderId="1" xfId="0" applyNumberFormat="1" applyFont="1" applyFill="1" applyBorder="1" applyAlignment="1">
      <alignment vertical="center"/>
    </xf>
    <xf numFmtId="4" fontId="7" fillId="0" borderId="31" xfId="0" applyNumberFormat="1" applyFont="1" applyFill="1" applyBorder="1" applyAlignment="1">
      <alignment vertical="center"/>
    </xf>
    <xf numFmtId="0" fontId="7" fillId="0" borderId="19" xfId="0" applyFont="1" applyFill="1" applyBorder="1" applyAlignment="1">
      <alignment vertical="center"/>
    </xf>
    <xf numFmtId="0" fontId="0" fillId="0" borderId="16" xfId="0" applyBorder="1" applyAlignment="1">
      <alignment vertical="center"/>
    </xf>
    <xf numFmtId="0" fontId="7" fillId="0" borderId="1" xfId="0" applyFont="1" applyFill="1" applyBorder="1" applyAlignment="1">
      <alignment horizontal="center" vertical="center" wrapText="1"/>
    </xf>
    <xf numFmtId="4" fontId="7" fillId="0" borderId="32" xfId="0" applyNumberFormat="1" applyFont="1" applyFill="1" applyBorder="1" applyAlignment="1">
      <alignment vertical="center"/>
    </xf>
    <xf numFmtId="0" fontId="7" fillId="0" borderId="19" xfId="0" applyFont="1" applyFill="1" applyBorder="1" applyAlignment="1">
      <alignment vertical="center" wrapText="1"/>
    </xf>
    <xf numFmtId="0" fontId="13" fillId="5" borderId="33" xfId="0" applyFont="1" applyFill="1" applyBorder="1" applyAlignment="1">
      <alignment vertical="center"/>
    </xf>
    <xf numFmtId="0" fontId="8" fillId="5" borderId="34" xfId="0" applyFont="1" applyFill="1" applyBorder="1" applyAlignment="1">
      <alignment horizontal="center" vertical="center"/>
    </xf>
    <xf numFmtId="0" fontId="8" fillId="5" borderId="34" xfId="0" applyFont="1" applyFill="1" applyBorder="1" applyAlignment="1">
      <alignment vertical="center"/>
    </xf>
    <xf numFmtId="4" fontId="14" fillId="5" borderId="35" xfId="0" applyNumberFormat="1" applyFont="1" applyFill="1" applyBorder="1" applyAlignment="1">
      <alignment vertical="center"/>
    </xf>
    <xf numFmtId="0" fontId="8" fillId="5" borderId="36" xfId="0" applyFont="1" applyFill="1" applyBorder="1" applyAlignment="1">
      <alignment vertical="center"/>
    </xf>
    <xf numFmtId="3" fontId="13" fillId="0" borderId="0" xfId="0" applyNumberFormat="1" applyFont="1" applyFill="1" applyAlignment="1">
      <alignment vertical="center"/>
    </xf>
    <xf numFmtId="0" fontId="7" fillId="0" borderId="23" xfId="0" applyFont="1" applyFill="1" applyBorder="1" applyAlignment="1">
      <alignment horizontal="center" vertical="center"/>
    </xf>
    <xf numFmtId="0" fontId="0" fillId="0" borderId="28" xfId="0" applyBorder="1" applyAlignment="1">
      <alignment vertical="center" wrapText="1"/>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4" fontId="7" fillId="0" borderId="37" xfId="0" applyNumberFormat="1" applyFont="1" applyFill="1" applyBorder="1" applyAlignment="1">
      <alignment vertical="center"/>
    </xf>
    <xf numFmtId="0" fontId="7" fillId="0" borderId="26" xfId="0" applyFont="1" applyFill="1" applyBorder="1" applyAlignment="1">
      <alignment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39" xfId="0" applyFont="1" applyFill="1" applyBorder="1" applyAlignment="1">
      <alignment vertical="center" wrapText="1"/>
    </xf>
    <xf numFmtId="0" fontId="7" fillId="0" borderId="40" xfId="0" applyFont="1" applyFill="1" applyBorder="1" applyAlignment="1">
      <alignment vertical="center"/>
    </xf>
    <xf numFmtId="0" fontId="7" fillId="0" borderId="41" xfId="0" applyFont="1" applyFill="1" applyBorder="1" applyAlignment="1">
      <alignment horizontal="center" vertical="center"/>
    </xf>
    <xf numFmtId="0" fontId="7" fillId="0" borderId="42" xfId="0" applyFont="1" applyFill="1" applyBorder="1" applyAlignment="1">
      <alignment vertical="center"/>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43" xfId="0" applyFont="1" applyFill="1" applyBorder="1" applyAlignment="1">
      <alignment vertical="center"/>
    </xf>
    <xf numFmtId="4" fontId="7" fillId="0" borderId="25" xfId="0" applyNumberFormat="1" applyFont="1" applyFill="1" applyBorder="1" applyAlignment="1">
      <alignment vertical="center"/>
    </xf>
    <xf numFmtId="0" fontId="7" fillId="0" borderId="0"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27" xfId="0" applyFont="1" applyFill="1" applyBorder="1" applyAlignment="1">
      <alignment vertical="center"/>
    </xf>
    <xf numFmtId="0" fontId="7" fillId="0" borderId="38"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9" xfId="0" applyFont="1" applyFill="1" applyBorder="1" applyAlignment="1">
      <alignment vertical="center"/>
    </xf>
    <xf numFmtId="4" fontId="7" fillId="0" borderId="16" xfId="0" applyNumberFormat="1" applyFont="1" applyFill="1" applyBorder="1" applyAlignment="1">
      <alignment vertical="center"/>
    </xf>
    <xf numFmtId="0" fontId="13" fillId="5" borderId="45" xfId="0" applyFont="1" applyFill="1" applyBorder="1" applyAlignment="1">
      <alignment vertical="center"/>
    </xf>
    <xf numFmtId="0" fontId="8" fillId="5" borderId="46" xfId="0" applyFont="1" applyFill="1" applyBorder="1" applyAlignment="1">
      <alignment horizontal="center" vertical="center"/>
    </xf>
    <xf numFmtId="0" fontId="8" fillId="5" borderId="18" xfId="0" applyFont="1" applyFill="1" applyBorder="1" applyAlignment="1">
      <alignment vertical="center"/>
    </xf>
    <xf numFmtId="4" fontId="14" fillId="5" borderId="1" xfId="0" applyNumberFormat="1" applyFont="1" applyFill="1" applyBorder="1" applyAlignment="1">
      <alignment vertical="center"/>
    </xf>
    <xf numFmtId="0" fontId="8" fillId="5" borderId="47" xfId="0" applyFont="1" applyFill="1" applyBorder="1" applyAlignment="1">
      <alignment vertical="center"/>
    </xf>
    <xf numFmtId="0" fontId="7"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1" xfId="0" applyFont="1" applyFill="1" applyBorder="1" applyAlignment="1">
      <alignment vertical="center"/>
    </xf>
    <xf numFmtId="0" fontId="7" fillId="0" borderId="1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1" xfId="0" applyFont="1" applyFill="1" applyBorder="1" applyAlignment="1">
      <alignment horizontal="center" vertical="center" wrapText="1"/>
    </xf>
    <xf numFmtId="0" fontId="9" fillId="0" borderId="0" xfId="0" applyFont="1" applyFill="1" applyBorder="1" applyAlignment="1">
      <alignment vertical="center" wrapText="1"/>
    </xf>
    <xf numFmtId="0" fontId="8" fillId="0" borderId="46" xfId="0" applyFont="1" applyFill="1" applyBorder="1" applyAlignment="1">
      <alignment vertical="center"/>
    </xf>
    <xf numFmtId="0" fontId="7" fillId="0" borderId="24" xfId="0" applyFont="1" applyFill="1" applyBorder="1" applyAlignment="1">
      <alignment vertical="center"/>
    </xf>
    <xf numFmtId="0" fontId="13" fillId="5" borderId="49" xfId="0" applyFont="1" applyFill="1" applyBorder="1" applyAlignment="1">
      <alignment vertical="center"/>
    </xf>
    <xf numFmtId="0" fontId="8" fillId="5" borderId="6" xfId="0" applyFont="1" applyFill="1" applyBorder="1" applyAlignment="1">
      <alignment horizontal="center" vertical="center"/>
    </xf>
    <xf numFmtId="0" fontId="8" fillId="5" borderId="6" xfId="0" applyFont="1" applyFill="1" applyBorder="1" applyAlignment="1">
      <alignment vertical="center"/>
    </xf>
    <xf numFmtId="4" fontId="14" fillId="5" borderId="50" xfId="0" applyNumberFormat="1" applyFont="1" applyFill="1" applyBorder="1" applyAlignment="1">
      <alignment vertical="center"/>
    </xf>
    <xf numFmtId="0" fontId="8" fillId="5" borderId="51" xfId="0" applyFont="1" applyFill="1" applyBorder="1" applyAlignment="1">
      <alignment vertical="center"/>
    </xf>
    <xf numFmtId="0" fontId="17" fillId="4" borderId="49" xfId="0" applyFont="1" applyFill="1" applyBorder="1" applyAlignment="1">
      <alignment horizontal="left" vertical="center"/>
    </xf>
    <xf numFmtId="0" fontId="17" fillId="4" borderId="6" xfId="0" applyFont="1" applyFill="1" applyBorder="1" applyAlignment="1">
      <alignment horizontal="center" vertical="center" wrapText="1"/>
    </xf>
    <xf numFmtId="0" fontId="7" fillId="0" borderId="52" xfId="0" applyFont="1" applyFill="1" applyBorder="1" applyAlignment="1">
      <alignment vertical="center" wrapText="1"/>
    </xf>
    <xf numFmtId="0" fontId="0" fillId="0" borderId="15" xfId="0" applyBorder="1" applyAlignment="1">
      <alignment vertical="center" wrapText="1"/>
    </xf>
    <xf numFmtId="0" fontId="0" fillId="0" borderId="29" xfId="0" applyBorder="1" applyAlignment="1">
      <alignment vertical="center" wrapText="1"/>
    </xf>
    <xf numFmtId="0" fontId="17" fillId="4" borderId="6" xfId="0" applyFont="1" applyFill="1" applyBorder="1" applyAlignment="1">
      <alignment vertical="center"/>
    </xf>
    <xf numFmtId="0" fontId="17" fillId="4" borderId="6" xfId="0" applyFont="1" applyFill="1" applyBorder="1" applyAlignment="1">
      <alignment vertical="center" wrapText="1"/>
    </xf>
    <xf numFmtId="4" fontId="13" fillId="4" borderId="50" xfId="0" applyNumberFormat="1" applyFont="1" applyFill="1" applyBorder="1" applyAlignment="1">
      <alignment vertical="center"/>
    </xf>
    <xf numFmtId="0" fontId="18" fillId="4" borderId="51" xfId="0" applyFont="1" applyFill="1" applyBorder="1" applyAlignment="1">
      <alignment vertical="center" wrapText="1"/>
    </xf>
    <xf numFmtId="0" fontId="18" fillId="0" borderId="0" xfId="0" applyFont="1" applyFill="1" applyAlignment="1">
      <alignment vertical="center"/>
    </xf>
    <xf numFmtId="0" fontId="7" fillId="0" borderId="53" xfId="0" applyFont="1" applyFill="1" applyBorder="1" applyAlignment="1">
      <alignment vertical="center" wrapText="1"/>
    </xf>
    <xf numFmtId="0" fontId="7" fillId="0" borderId="53" xfId="0" applyFont="1" applyFill="1" applyBorder="1" applyAlignment="1">
      <alignment vertical="center"/>
    </xf>
    <xf numFmtId="4" fontId="7" fillId="0" borderId="53" xfId="0" applyNumberFormat="1" applyFont="1" applyFill="1" applyBorder="1" applyAlignment="1">
      <alignment vertical="center"/>
    </xf>
    <xf numFmtId="0" fontId="19" fillId="0" borderId="53" xfId="0" applyFont="1" applyFill="1" applyBorder="1" applyAlignment="1">
      <alignment vertical="center" wrapText="1"/>
    </xf>
    <xf numFmtId="4" fontId="13" fillId="6" borderId="24" xfId="0" applyNumberFormat="1" applyFont="1" applyFill="1" applyBorder="1" applyAlignment="1">
      <alignment vertical="center"/>
    </xf>
    <xf numFmtId="0" fontId="8" fillId="6" borderId="26" xfId="0" applyFont="1" applyFill="1" applyBorder="1" applyAlignment="1">
      <alignment vertical="center" wrapText="1"/>
    </xf>
    <xf numFmtId="4" fontId="13" fillId="6" borderId="1" xfId="0" applyNumberFormat="1" applyFont="1" applyFill="1" applyBorder="1" applyAlignment="1">
      <alignment vertical="center"/>
    </xf>
    <xf numFmtId="0" fontId="8" fillId="6" borderId="19" xfId="0" applyFont="1" applyFill="1" applyBorder="1" applyAlignment="1">
      <alignment vertical="center" wrapText="1"/>
    </xf>
    <xf numFmtId="0" fontId="17" fillId="4" borderId="7" xfId="0" applyFont="1" applyFill="1" applyBorder="1" applyAlignment="1">
      <alignment vertical="center"/>
    </xf>
    <xf numFmtId="0" fontId="8" fillId="4" borderId="53" xfId="0" applyFont="1" applyFill="1" applyBorder="1" applyAlignment="1">
      <alignment vertical="center" wrapText="1"/>
    </xf>
    <xf numFmtId="0" fontId="13" fillId="4" borderId="21" xfId="0" applyFont="1" applyFill="1" applyBorder="1" applyAlignment="1">
      <alignment vertical="center" wrapText="1"/>
    </xf>
    <xf numFmtId="4" fontId="13" fillId="4" borderId="13" xfId="0" applyNumberFormat="1" applyFont="1" applyFill="1" applyBorder="1" applyAlignment="1">
      <alignment vertical="center"/>
    </xf>
    <xf numFmtId="0" fontId="20" fillId="4" borderId="22" xfId="0" applyFont="1" applyFill="1" applyBorder="1" applyAlignment="1">
      <alignment vertical="center" wrapText="1"/>
    </xf>
    <xf numFmtId="0" fontId="13" fillId="0" borderId="0" xfId="0" applyFont="1" applyFill="1" applyAlignment="1">
      <alignment vertical="center"/>
    </xf>
    <xf numFmtId="4" fontId="21" fillId="0" borderId="0" xfId="0" applyNumberFormat="1" applyFont="1" applyFill="1" applyAlignment="1">
      <alignment vertical="center"/>
    </xf>
    <xf numFmtId="0" fontId="19" fillId="0" borderId="0" xfId="0" applyFont="1" applyFill="1" applyAlignment="1">
      <alignment vertical="center" wrapText="1"/>
    </xf>
    <xf numFmtId="0" fontId="7" fillId="0" borderId="0" xfId="0" applyFont="1" applyFill="1" applyAlignment="1">
      <alignment horizontal="center" vertical="center" wrapText="1"/>
    </xf>
    <xf numFmtId="4" fontId="7" fillId="0" borderId="0" xfId="0" applyNumberFormat="1" applyFont="1" applyFill="1" applyAlignment="1">
      <alignment vertical="center"/>
    </xf>
    <xf numFmtId="4" fontId="8" fillId="0" borderId="0" xfId="0" applyNumberFormat="1" applyFont="1" applyFill="1" applyAlignment="1">
      <alignment vertical="center"/>
    </xf>
    <xf numFmtId="0" fontId="1" fillId="3" borderId="8" xfId="0" applyFont="1" applyFill="1" applyBorder="1" applyAlignment="1">
      <alignment horizontal="center" vertical="center"/>
    </xf>
    <xf numFmtId="0" fontId="22" fillId="3" borderId="8" xfId="0" applyFont="1" applyFill="1" applyBorder="1" applyAlignment="1">
      <alignment horizontal="center" vertical="center"/>
    </xf>
    <xf numFmtId="3" fontId="22" fillId="3" borderId="8" xfId="0" applyNumberFormat="1" applyFont="1" applyFill="1" applyBorder="1" applyAlignment="1">
      <alignment horizontal="center" vertical="center" wrapText="1"/>
    </xf>
    <xf numFmtId="4" fontId="22" fillId="3" borderId="8" xfId="0" applyNumberFormat="1" applyFont="1" applyFill="1" applyBorder="1" applyAlignment="1">
      <alignment horizontal="center" vertical="center" wrapText="1"/>
    </xf>
    <xf numFmtId="0" fontId="1" fillId="3" borderId="8" xfId="0" applyFont="1" applyFill="1" applyBorder="1" applyAlignment="1">
      <alignment/>
    </xf>
    <xf numFmtId="0" fontId="0" fillId="0" borderId="0" xfId="0" applyFill="1" applyAlignment="1">
      <alignment/>
    </xf>
    <xf numFmtId="0" fontId="22" fillId="0" borderId="0" xfId="0" applyFont="1" applyFill="1" applyAlignment="1">
      <alignment/>
    </xf>
    <xf numFmtId="3" fontId="23" fillId="0" borderId="0" xfId="0" applyNumberFormat="1" applyFont="1" applyFill="1" applyAlignment="1">
      <alignment/>
    </xf>
    <xf numFmtId="4" fontId="23" fillId="0" borderId="0" xfId="0" applyNumberFormat="1" applyFont="1" applyFill="1" applyAlignment="1">
      <alignment/>
    </xf>
    <xf numFmtId="0" fontId="23" fillId="0" borderId="0" xfId="0" applyFont="1" applyFill="1" applyAlignment="1">
      <alignment/>
    </xf>
    <xf numFmtId="0" fontId="0" fillId="0" borderId="0" xfId="0" applyAlignment="1">
      <alignment/>
    </xf>
    <xf numFmtId="0" fontId="0" fillId="0" borderId="1" xfId="0" applyFill="1" applyBorder="1" applyAlignment="1">
      <alignment horizontal="center" vertical="center"/>
    </xf>
    <xf numFmtId="0" fontId="23" fillId="0" borderId="1" xfId="0" applyFont="1" applyFill="1" applyBorder="1" applyAlignment="1">
      <alignment vertical="center"/>
    </xf>
    <xf numFmtId="3" fontId="23" fillId="0" borderId="1" xfId="0" applyNumberFormat="1" applyFont="1" applyFill="1" applyBorder="1" applyAlignment="1">
      <alignment vertical="center"/>
    </xf>
    <xf numFmtId="4" fontId="23" fillId="0" borderId="1" xfId="0" applyNumberFormat="1" applyFont="1" applyFill="1" applyBorder="1" applyAlignment="1">
      <alignment vertical="center"/>
    </xf>
    <xf numFmtId="0" fontId="23" fillId="7" borderId="1" xfId="0" applyFont="1" applyFill="1" applyBorder="1" applyAlignment="1">
      <alignment vertical="center"/>
    </xf>
    <xf numFmtId="0" fontId="0" fillId="3" borderId="0" xfId="0" applyFill="1" applyAlignment="1">
      <alignment/>
    </xf>
    <xf numFmtId="3" fontId="23" fillId="0" borderId="1" xfId="0" applyNumberFormat="1" applyFont="1" applyFill="1" applyBorder="1" applyAlignment="1">
      <alignment horizontal="right" vertical="center"/>
    </xf>
    <xf numFmtId="4" fontId="23" fillId="0" borderId="1" xfId="0" applyNumberFormat="1" applyFont="1" applyFill="1" applyBorder="1" applyAlignment="1">
      <alignment horizontal="right" vertical="center"/>
    </xf>
    <xf numFmtId="0" fontId="22" fillId="0" borderId="1"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3" fontId="23" fillId="0" borderId="31" xfId="0" applyNumberFormat="1" applyFont="1" applyFill="1" applyBorder="1" applyAlignment="1">
      <alignment vertical="center"/>
    </xf>
    <xf numFmtId="4" fontId="23" fillId="0" borderId="31" xfId="0" applyNumberFormat="1" applyFont="1" applyFill="1" applyBorder="1" applyAlignment="1">
      <alignment vertical="center"/>
    </xf>
    <xf numFmtId="0" fontId="0" fillId="7" borderId="1" xfId="0" applyFill="1" applyBorder="1" applyAlignment="1">
      <alignment horizontal="center" vertical="center"/>
    </xf>
    <xf numFmtId="0" fontId="23" fillId="7" borderId="1" xfId="0" applyFont="1" applyFill="1" applyBorder="1" applyAlignment="1">
      <alignment horizontal="left" vertical="center"/>
    </xf>
    <xf numFmtId="3" fontId="23" fillId="7" borderId="31" xfId="0" applyNumberFormat="1" applyFont="1" applyFill="1" applyBorder="1" applyAlignment="1">
      <alignment horizontal="right" vertical="center"/>
    </xf>
    <xf numFmtId="4" fontId="23" fillId="7" borderId="31" xfId="0" applyNumberFormat="1" applyFont="1" applyFill="1" applyBorder="1" applyAlignment="1">
      <alignment horizontal="right" vertical="center"/>
    </xf>
    <xf numFmtId="0" fontId="0" fillId="7" borderId="0" xfId="0" applyFill="1" applyAlignment="1">
      <alignment/>
    </xf>
    <xf numFmtId="3" fontId="23" fillId="0" borderId="1" xfId="0" applyNumberFormat="1" applyFont="1" applyFill="1" applyBorder="1" applyAlignment="1">
      <alignment vertical="center" wrapText="1"/>
    </xf>
    <xf numFmtId="4" fontId="23" fillId="0" borderId="1" xfId="0" applyNumberFormat="1" applyFont="1" applyFill="1" applyBorder="1" applyAlignment="1">
      <alignment vertical="center" wrapText="1"/>
    </xf>
    <xf numFmtId="0" fontId="23" fillId="7" borderId="1" xfId="0" applyFont="1" applyFill="1" applyBorder="1" applyAlignment="1">
      <alignment horizontal="right" vertical="center"/>
    </xf>
    <xf numFmtId="4" fontId="23" fillId="7" borderId="1" xfId="0" applyNumberFormat="1" applyFont="1" applyFill="1" applyBorder="1" applyAlignment="1">
      <alignment horizontal="right" vertical="center"/>
    </xf>
    <xf numFmtId="0" fontId="23" fillId="7" borderId="1" xfId="0" applyFont="1" applyFill="1" applyBorder="1" applyAlignment="1">
      <alignment horizontal="left" vertical="center" wrapText="1"/>
    </xf>
    <xf numFmtId="0" fontId="1" fillId="0" borderId="1" xfId="0" applyFont="1" applyFill="1" applyBorder="1" applyAlignment="1">
      <alignment vertical="center"/>
    </xf>
    <xf numFmtId="0" fontId="23" fillId="0" borderId="1" xfId="0" applyFont="1" applyFill="1" applyBorder="1" applyAlignment="1">
      <alignment horizontal="left" vertical="center"/>
    </xf>
    <xf numFmtId="0" fontId="22" fillId="7" borderId="1" xfId="0" applyFont="1" applyFill="1" applyBorder="1" applyAlignment="1">
      <alignment vertical="center"/>
    </xf>
    <xf numFmtId="0" fontId="23" fillId="0" borderId="1" xfId="0" applyFont="1" applyFill="1" applyBorder="1" applyAlignment="1">
      <alignment horizontal="right" vertical="center"/>
    </xf>
    <xf numFmtId="0" fontId="0" fillId="0" borderId="39" xfId="0" applyFill="1" applyBorder="1" applyAlignment="1">
      <alignment horizontal="center" vertical="center"/>
    </xf>
    <xf numFmtId="0" fontId="23" fillId="0" borderId="39" xfId="0" applyFont="1" applyFill="1" applyBorder="1" applyAlignment="1">
      <alignment vertical="center"/>
    </xf>
    <xf numFmtId="3" fontId="23" fillId="0" borderId="39" xfId="0" applyNumberFormat="1" applyFont="1" applyFill="1" applyBorder="1" applyAlignment="1">
      <alignment vertical="center"/>
    </xf>
    <xf numFmtId="4" fontId="23" fillId="0" borderId="39" xfId="0" applyNumberFormat="1" applyFont="1" applyFill="1" applyBorder="1" applyAlignment="1">
      <alignment vertical="center"/>
    </xf>
    <xf numFmtId="0" fontId="22" fillId="0" borderId="39" xfId="0" applyFont="1" applyFill="1" applyBorder="1" applyAlignment="1">
      <alignment vertical="center"/>
    </xf>
    <xf numFmtId="0" fontId="0" fillId="0" borderId="1" xfId="0" applyFill="1" applyBorder="1" applyAlignment="1">
      <alignment/>
    </xf>
    <xf numFmtId="0" fontId="0" fillId="0" borderId="1" xfId="0" applyBorder="1" applyAlignment="1">
      <alignment/>
    </xf>
    <xf numFmtId="0" fontId="0" fillId="0" borderId="28" xfId="0" applyFill="1" applyBorder="1" applyAlignment="1">
      <alignment horizontal="center" vertical="center"/>
    </xf>
    <xf numFmtId="3" fontId="23" fillId="0" borderId="28" xfId="0" applyNumberFormat="1" applyFont="1" applyFill="1" applyBorder="1" applyAlignment="1">
      <alignment vertical="center"/>
    </xf>
    <xf numFmtId="4" fontId="23" fillId="0" borderId="28" xfId="0" applyNumberFormat="1" applyFont="1" applyFill="1" applyBorder="1" applyAlignment="1">
      <alignment vertical="center"/>
    </xf>
    <xf numFmtId="0" fontId="0" fillId="0" borderId="0" xfId="0" applyFill="1" applyBorder="1" applyAlignment="1">
      <alignment/>
    </xf>
    <xf numFmtId="0" fontId="0" fillId="0" borderId="0" xfId="0" applyBorder="1" applyAlignment="1">
      <alignment/>
    </xf>
    <xf numFmtId="0" fontId="23" fillId="0" borderId="28" xfId="0" applyFont="1" applyFill="1" applyBorder="1" applyAlignment="1">
      <alignment vertical="center"/>
    </xf>
    <xf numFmtId="0" fontId="22" fillId="0" borderId="28" xfId="0" applyFont="1" applyFill="1" applyBorder="1" applyAlignment="1">
      <alignment vertical="center"/>
    </xf>
    <xf numFmtId="0" fontId="0" fillId="7" borderId="1" xfId="0" applyFont="1" applyFill="1" applyBorder="1" applyAlignment="1">
      <alignment horizontal="center" vertical="center"/>
    </xf>
    <xf numFmtId="3" fontId="23" fillId="7" borderId="1" xfId="0" applyNumberFormat="1" applyFont="1" applyFill="1" applyBorder="1" applyAlignment="1">
      <alignment horizontal="right" vertical="center"/>
    </xf>
    <xf numFmtId="0" fontId="23" fillId="0" borderId="0" xfId="0" applyFont="1" applyFill="1" applyBorder="1" applyAlignment="1">
      <alignment vertical="center"/>
    </xf>
    <xf numFmtId="3" fontId="23" fillId="7" borderId="1" xfId="0" applyNumberFormat="1" applyFont="1" applyFill="1" applyBorder="1" applyAlignment="1">
      <alignment vertical="center"/>
    </xf>
    <xf numFmtId="4" fontId="23" fillId="7" borderId="1" xfId="0" applyNumberFormat="1" applyFont="1" applyFill="1" applyBorder="1" applyAlignment="1">
      <alignment vertical="center"/>
    </xf>
    <xf numFmtId="0" fontId="24" fillId="0" borderId="0" xfId="0" applyFont="1" applyFill="1" applyAlignment="1">
      <alignment/>
    </xf>
    <xf numFmtId="3" fontId="23" fillId="0" borderId="32" xfId="0" applyNumberFormat="1" applyFont="1" applyFill="1" applyBorder="1" applyAlignment="1">
      <alignment vertical="center"/>
    </xf>
    <xf numFmtId="4" fontId="23" fillId="0" borderId="32" xfId="0" applyNumberFormat="1" applyFont="1" applyFill="1" applyBorder="1" applyAlignment="1">
      <alignment vertical="center"/>
    </xf>
    <xf numFmtId="0" fontId="0" fillId="0" borderId="29" xfId="0" applyFill="1" applyBorder="1" applyAlignment="1">
      <alignment horizontal="center" vertical="center"/>
    </xf>
    <xf numFmtId="0" fontId="23" fillId="0" borderId="29" xfId="0" applyFont="1" applyFill="1" applyBorder="1" applyAlignment="1">
      <alignment vertical="center"/>
    </xf>
    <xf numFmtId="3" fontId="23" fillId="0" borderId="30" xfId="0" applyNumberFormat="1" applyFont="1" applyFill="1" applyBorder="1" applyAlignment="1">
      <alignment vertical="center"/>
    </xf>
    <xf numFmtId="4" fontId="23" fillId="0" borderId="29" xfId="0" applyNumberFormat="1" applyFont="1" applyFill="1" applyBorder="1" applyAlignment="1">
      <alignment vertical="center"/>
    </xf>
    <xf numFmtId="4" fontId="23" fillId="0" borderId="30" xfId="0" applyNumberFormat="1" applyFont="1" applyFill="1" applyBorder="1" applyAlignment="1">
      <alignment vertical="center"/>
    </xf>
    <xf numFmtId="0" fontId="0" fillId="0" borderId="46" xfId="0" applyFill="1" applyBorder="1" applyAlignment="1">
      <alignment/>
    </xf>
    <xf numFmtId="0" fontId="0" fillId="0" borderId="46" xfId="0" applyBorder="1" applyAlignment="1">
      <alignment/>
    </xf>
    <xf numFmtId="3" fontId="23" fillId="0" borderId="16" xfId="0" applyNumberFormat="1" applyFont="1" applyFill="1" applyBorder="1" applyAlignment="1">
      <alignment vertical="center"/>
    </xf>
    <xf numFmtId="4" fontId="23" fillId="0" borderId="16" xfId="0" applyNumberFormat="1" applyFont="1" applyFill="1" applyBorder="1" applyAlignment="1">
      <alignment vertical="center"/>
    </xf>
    <xf numFmtId="0" fontId="0" fillId="0" borderId="8" xfId="0" applyFill="1" applyBorder="1" applyAlignment="1">
      <alignment horizontal="center" vertical="center"/>
    </xf>
    <xf numFmtId="0" fontId="22" fillId="0" borderId="8" xfId="0" applyFont="1" applyFill="1" applyBorder="1" applyAlignment="1">
      <alignment vertical="center"/>
    </xf>
    <xf numFmtId="3" fontId="22" fillId="0" borderId="8" xfId="0" applyNumberFormat="1" applyFont="1" applyFill="1" applyBorder="1" applyAlignment="1">
      <alignment vertical="center"/>
    </xf>
    <xf numFmtId="4" fontId="22" fillId="0" borderId="8" xfId="0" applyNumberFormat="1" applyFont="1" applyFill="1" applyBorder="1" applyAlignment="1">
      <alignment vertical="center"/>
    </xf>
    <xf numFmtId="0" fontId="23" fillId="0" borderId="8" xfId="0" applyFont="1" applyFill="1" applyBorder="1" applyAlignment="1">
      <alignment/>
    </xf>
    <xf numFmtId="0" fontId="0" fillId="0" borderId="8" xfId="0" applyFill="1" applyBorder="1" applyAlignment="1">
      <alignment/>
    </xf>
    <xf numFmtId="0" fontId="0" fillId="0" borderId="8" xfId="0" applyBorder="1" applyAlignment="1">
      <alignment/>
    </xf>
    <xf numFmtId="3" fontId="23" fillId="0" borderId="0" xfId="0" applyNumberFormat="1" applyFont="1" applyFill="1" applyBorder="1" applyAlignment="1">
      <alignment/>
    </xf>
    <xf numFmtId="4" fontId="23" fillId="0" borderId="0" xfId="0" applyNumberFormat="1" applyFont="1" applyFill="1" applyBorder="1" applyAlignment="1">
      <alignment/>
    </xf>
    <xf numFmtId="0" fontId="23" fillId="0" borderId="0" xfId="0" applyFont="1" applyFill="1" applyBorder="1" applyAlignment="1">
      <alignment/>
    </xf>
    <xf numFmtId="0" fontId="1" fillId="0" borderId="0" xfId="0" applyFont="1" applyFill="1" applyAlignment="1">
      <alignment/>
    </xf>
    <xf numFmtId="0" fontId="0" fillId="7" borderId="1" xfId="0" applyFont="1" applyFill="1" applyBorder="1" applyAlignment="1">
      <alignment horizontal="left" vertical="center"/>
    </xf>
    <xf numFmtId="0" fontId="0" fillId="0" borderId="1" xfId="0" applyFont="1" applyFill="1" applyBorder="1" applyAlignment="1">
      <alignment horizontal="left" vertical="center"/>
    </xf>
    <xf numFmtId="0" fontId="0" fillId="7"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0" fillId="7" borderId="1" xfId="0" applyFont="1" applyFill="1" applyBorder="1" applyAlignment="1">
      <alignment vertical="center"/>
    </xf>
    <xf numFmtId="0" fontId="23" fillId="0" borderId="39" xfId="0" applyFont="1" applyFill="1" applyBorder="1" applyAlignment="1">
      <alignment horizontal="left" vertical="center"/>
    </xf>
    <xf numFmtId="0" fontId="23" fillId="0" borderId="39" xfId="0" applyFont="1" applyFill="1" applyBorder="1" applyAlignment="1">
      <alignment horizontal="right" vertical="center"/>
    </xf>
    <xf numFmtId="4" fontId="23" fillId="0" borderId="39" xfId="0" applyNumberFormat="1" applyFont="1" applyFill="1" applyBorder="1" applyAlignment="1">
      <alignment horizontal="right" vertical="center"/>
    </xf>
    <xf numFmtId="0" fontId="0" fillId="0" borderId="39" xfId="0" applyFont="1" applyFill="1" applyBorder="1" applyAlignment="1">
      <alignment horizontal="left" vertical="center" wrapText="1"/>
    </xf>
    <xf numFmtId="0" fontId="23" fillId="0" borderId="29" xfId="0" applyFont="1" applyFill="1" applyBorder="1" applyAlignment="1">
      <alignment horizontal="left" vertical="center"/>
    </xf>
    <xf numFmtId="3" fontId="23" fillId="0" borderId="29" xfId="0" applyNumberFormat="1" applyFont="1" applyFill="1" applyBorder="1" applyAlignment="1">
      <alignment horizontal="right" vertical="center"/>
    </xf>
    <xf numFmtId="4" fontId="23" fillId="0" borderId="29" xfId="0" applyNumberFormat="1" applyFont="1" applyFill="1" applyBorder="1" applyAlignment="1">
      <alignment horizontal="right" vertical="center"/>
    </xf>
    <xf numFmtId="4" fontId="23" fillId="0" borderId="28" xfId="0" applyNumberFormat="1" applyFont="1" applyFill="1" applyBorder="1" applyAlignment="1">
      <alignment horizontal="right" vertical="center"/>
    </xf>
    <xf numFmtId="0" fontId="0" fillId="0" borderId="29" xfId="0" applyFont="1" applyFill="1" applyBorder="1" applyAlignment="1">
      <alignment horizontal="left" vertical="center"/>
    </xf>
    <xf numFmtId="0" fontId="0" fillId="0" borderId="35" xfId="0" applyFill="1" applyBorder="1" applyAlignment="1">
      <alignment horizontal="center" vertical="center"/>
    </xf>
    <xf numFmtId="0" fontId="23" fillId="0" borderId="35" xfId="0" applyFont="1" applyFill="1" applyBorder="1" applyAlignment="1">
      <alignment horizontal="left" vertical="center"/>
    </xf>
    <xf numFmtId="3" fontId="23" fillId="0" borderId="35" xfId="0" applyNumberFormat="1" applyFont="1" applyFill="1" applyBorder="1" applyAlignment="1">
      <alignment horizontal="right" vertical="center"/>
    </xf>
    <xf numFmtId="4" fontId="23" fillId="0" borderId="35" xfId="0" applyNumberFormat="1" applyFont="1" applyFill="1" applyBorder="1" applyAlignment="1">
      <alignment horizontal="right" vertical="center"/>
    </xf>
    <xf numFmtId="0" fontId="0" fillId="0" borderId="35" xfId="0" applyFont="1" applyFill="1" applyBorder="1" applyAlignment="1">
      <alignment horizontal="left" vertical="center" wrapText="1"/>
    </xf>
    <xf numFmtId="0" fontId="0" fillId="0" borderId="35" xfId="0" applyFill="1" applyBorder="1" applyAlignment="1">
      <alignment/>
    </xf>
    <xf numFmtId="0" fontId="0" fillId="0" borderId="35" xfId="0" applyBorder="1" applyAlignment="1">
      <alignment/>
    </xf>
    <xf numFmtId="0" fontId="22" fillId="0" borderId="8" xfId="0" applyFont="1" applyFill="1" applyBorder="1" applyAlignment="1">
      <alignment/>
    </xf>
    <xf numFmtId="3" fontId="22" fillId="0" borderId="8" xfId="0" applyNumberFormat="1" applyFont="1" applyFill="1" applyBorder="1" applyAlignment="1">
      <alignment/>
    </xf>
    <xf numFmtId="4" fontId="22" fillId="0" borderId="8" xfId="0" applyNumberFormat="1" applyFont="1" applyFill="1" applyBorder="1" applyAlignment="1">
      <alignment/>
    </xf>
    <xf numFmtId="4" fontId="22" fillId="0" borderId="8" xfId="0" applyNumberFormat="1" applyFont="1" applyFill="1" applyBorder="1" applyAlignment="1">
      <alignment horizontal="right" vertical="center"/>
    </xf>
    <xf numFmtId="0" fontId="0" fillId="0" borderId="0" xfId="0" applyFill="1" applyBorder="1" applyAlignment="1">
      <alignment horizontal="center" vertical="center"/>
    </xf>
    <xf numFmtId="0" fontId="22" fillId="0" borderId="0" xfId="0" applyFont="1" applyFill="1" applyBorder="1" applyAlignment="1">
      <alignment/>
    </xf>
    <xf numFmtId="3" fontId="22" fillId="0" borderId="0" xfId="0" applyNumberFormat="1" applyFont="1" applyFill="1" applyBorder="1" applyAlignment="1">
      <alignment/>
    </xf>
    <xf numFmtId="4" fontId="22" fillId="0" borderId="0" xfId="0" applyNumberFormat="1" applyFont="1" applyFill="1" applyBorder="1" applyAlignment="1">
      <alignment/>
    </xf>
    <xf numFmtId="4" fontId="23" fillId="0" borderId="0" xfId="0" applyNumberFormat="1" applyFont="1" applyFill="1" applyBorder="1" applyAlignment="1">
      <alignment horizontal="right" vertical="center"/>
    </xf>
    <xf numFmtId="0" fontId="1" fillId="0" borderId="0" xfId="0" applyFont="1" applyFill="1" applyAlignment="1">
      <alignment horizontal="center" vertical="center"/>
    </xf>
    <xf numFmtId="0" fontId="23" fillId="0" borderId="54" xfId="0" applyFont="1" applyFill="1" applyBorder="1" applyAlignment="1">
      <alignment/>
    </xf>
    <xf numFmtId="0" fontId="0" fillId="0" borderId="1" xfId="0" applyFont="1" applyFill="1" applyBorder="1" applyAlignment="1">
      <alignment vertical="center" wrapText="1"/>
    </xf>
    <xf numFmtId="0" fontId="23" fillId="0" borderId="1" xfId="0" applyFont="1" applyFill="1" applyBorder="1" applyAlignment="1">
      <alignment vertical="center" wrapText="1"/>
    </xf>
    <xf numFmtId="0" fontId="0" fillId="7"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23" fillId="7" borderId="1" xfId="0" applyFont="1" applyFill="1" applyBorder="1" applyAlignment="1">
      <alignment vertical="center" wrapText="1"/>
    </xf>
    <xf numFmtId="0" fontId="0" fillId="7" borderId="39" xfId="0" applyFill="1" applyBorder="1" applyAlignment="1">
      <alignment horizontal="center" vertical="center"/>
    </xf>
    <xf numFmtId="0" fontId="23" fillId="7" borderId="39" xfId="0" applyFont="1" applyFill="1" applyBorder="1" applyAlignment="1">
      <alignment vertical="center"/>
    </xf>
    <xf numFmtId="3" fontId="23" fillId="7" borderId="39" xfId="0" applyNumberFormat="1" applyFont="1" applyFill="1" applyBorder="1" applyAlignment="1">
      <alignment vertical="center"/>
    </xf>
    <xf numFmtId="4" fontId="23" fillId="7" borderId="39" xfId="0" applyNumberFormat="1" applyFont="1" applyFill="1" applyBorder="1" applyAlignment="1">
      <alignment vertical="center"/>
    </xf>
    <xf numFmtId="0" fontId="0" fillId="7" borderId="39" xfId="0" applyFont="1" applyFill="1" applyBorder="1" applyAlignment="1">
      <alignment vertical="center"/>
    </xf>
    <xf numFmtId="0" fontId="0" fillId="7" borderId="1" xfId="0" applyFill="1" applyBorder="1" applyAlignment="1">
      <alignment/>
    </xf>
    <xf numFmtId="0" fontId="0" fillId="7" borderId="39" xfId="0" applyFill="1" applyBorder="1" applyAlignment="1">
      <alignment/>
    </xf>
    <xf numFmtId="0" fontId="0" fillId="7" borderId="35" xfId="0" applyFill="1" applyBorder="1" applyAlignment="1">
      <alignment horizontal="center" vertical="center"/>
    </xf>
    <xf numFmtId="0" fontId="23" fillId="7" borderId="35" xfId="0" applyFont="1" applyFill="1" applyBorder="1" applyAlignment="1">
      <alignment vertical="center"/>
    </xf>
    <xf numFmtId="3" fontId="23" fillId="7" borderId="35" xfId="0" applyNumberFormat="1" applyFont="1" applyFill="1" applyBorder="1" applyAlignment="1">
      <alignment vertical="center"/>
    </xf>
    <xf numFmtId="4" fontId="23" fillId="7" borderId="35" xfId="0" applyNumberFormat="1" applyFont="1" applyFill="1" applyBorder="1" applyAlignment="1">
      <alignment vertical="center"/>
    </xf>
    <xf numFmtId="0" fontId="0" fillId="7" borderId="35" xfId="0" applyFont="1" applyFill="1" applyBorder="1" applyAlignment="1">
      <alignment vertical="center"/>
    </xf>
    <xf numFmtId="0" fontId="0" fillId="7" borderId="35" xfId="0" applyFill="1" applyBorder="1" applyAlignment="1">
      <alignment/>
    </xf>
    <xf numFmtId="0" fontId="0" fillId="0" borderId="55" xfId="0" applyFill="1" applyBorder="1" applyAlignment="1">
      <alignment horizontal="center" vertical="center"/>
    </xf>
    <xf numFmtId="0" fontId="22" fillId="0" borderId="55" xfId="0" applyFont="1" applyFill="1" applyBorder="1" applyAlignment="1">
      <alignment vertical="center"/>
    </xf>
    <xf numFmtId="3" fontId="22" fillId="0" borderId="55" xfId="0" applyNumberFormat="1" applyFont="1" applyFill="1" applyBorder="1" applyAlignment="1">
      <alignment vertical="center"/>
    </xf>
    <xf numFmtId="4" fontId="22" fillId="0" borderId="55" xfId="0" applyNumberFormat="1" applyFont="1" applyFill="1" applyBorder="1" applyAlignment="1">
      <alignment vertical="center"/>
    </xf>
    <xf numFmtId="0" fontId="23" fillId="0" borderId="55" xfId="0" applyFont="1" applyFill="1" applyBorder="1" applyAlignment="1">
      <alignment/>
    </xf>
    <xf numFmtId="0" fontId="0" fillId="0" borderId="55" xfId="0" applyFill="1" applyBorder="1" applyAlignment="1">
      <alignment/>
    </xf>
    <xf numFmtId="0" fontId="0" fillId="0" borderId="55" xfId="0" applyBorder="1" applyAlignment="1">
      <alignment/>
    </xf>
    <xf numFmtId="0" fontId="22" fillId="0" borderId="0" xfId="0" applyFont="1" applyFill="1" applyBorder="1" applyAlignment="1">
      <alignment vertical="center"/>
    </xf>
    <xf numFmtId="3" fontId="22" fillId="0" borderId="0" xfId="0" applyNumberFormat="1" applyFont="1" applyFill="1" applyBorder="1" applyAlignment="1">
      <alignment vertical="center"/>
    </xf>
    <xf numFmtId="4" fontId="22" fillId="0" borderId="0" xfId="0" applyNumberFormat="1" applyFont="1" applyFill="1" applyBorder="1" applyAlignment="1">
      <alignment vertical="center"/>
    </xf>
    <xf numFmtId="4" fontId="22" fillId="0" borderId="0" xfId="0" applyNumberFormat="1" applyFont="1" applyFill="1" applyBorder="1" applyAlignment="1">
      <alignment horizontal="right" vertical="center"/>
    </xf>
    <xf numFmtId="0" fontId="0" fillId="0" borderId="0" xfId="0" applyFill="1" applyAlignment="1">
      <alignment horizontal="center" vertical="center"/>
    </xf>
    <xf numFmtId="0" fontId="0" fillId="0" borderId="1" xfId="0" applyFont="1" applyBorder="1" applyAlignment="1">
      <alignment horizontal="center" vertical="center"/>
    </xf>
    <xf numFmtId="0" fontId="23" fillId="0" borderId="31" xfId="0" applyFont="1" applyBorder="1" applyAlignment="1">
      <alignment vertical="center"/>
    </xf>
    <xf numFmtId="0" fontId="23" fillId="0" borderId="1" xfId="0" applyFont="1" applyBorder="1" applyAlignment="1">
      <alignment vertical="center"/>
    </xf>
    <xf numFmtId="4" fontId="23" fillId="0" borderId="1" xfId="0" applyNumberFormat="1" applyFont="1" applyBorder="1" applyAlignment="1">
      <alignment vertical="center"/>
    </xf>
    <xf numFmtId="4" fontId="23" fillId="0" borderId="46" xfId="0" applyNumberFormat="1" applyFont="1" applyBorder="1" applyAlignment="1">
      <alignment vertical="center"/>
    </xf>
    <xf numFmtId="0" fontId="23" fillId="0" borderId="18" xfId="0" applyFont="1" applyBorder="1" applyAlignment="1">
      <alignment/>
    </xf>
    <xf numFmtId="3" fontId="23" fillId="0" borderId="1" xfId="0" applyNumberFormat="1" applyFont="1" applyBorder="1" applyAlignment="1">
      <alignment vertical="center"/>
    </xf>
    <xf numFmtId="3" fontId="23" fillId="0" borderId="18" xfId="0" applyNumberFormat="1" applyFont="1" applyBorder="1" applyAlignment="1">
      <alignment/>
    </xf>
    <xf numFmtId="0" fontId="0" fillId="0" borderId="39" xfId="0" applyFont="1" applyBorder="1" applyAlignment="1">
      <alignment horizontal="center" vertical="center"/>
    </xf>
    <xf numFmtId="0" fontId="23" fillId="0" borderId="32" xfId="0" applyFont="1" applyBorder="1" applyAlignment="1">
      <alignment vertical="center"/>
    </xf>
    <xf numFmtId="0" fontId="23" fillId="0" borderId="35" xfId="0" applyFont="1" applyBorder="1" applyAlignment="1">
      <alignment vertical="center"/>
    </xf>
    <xf numFmtId="4" fontId="23" fillId="0" borderId="35" xfId="0" applyNumberFormat="1" applyFont="1" applyBorder="1" applyAlignment="1">
      <alignment vertical="center"/>
    </xf>
    <xf numFmtId="4" fontId="23" fillId="0" borderId="4" xfId="0" applyNumberFormat="1" applyFont="1" applyBorder="1" applyAlignment="1">
      <alignment vertical="center"/>
    </xf>
    <xf numFmtId="0" fontId="23" fillId="0" borderId="56" xfId="0" applyFont="1" applyBorder="1" applyAlignment="1">
      <alignment/>
    </xf>
    <xf numFmtId="0" fontId="0" fillId="0" borderId="8" xfId="0" applyFont="1" applyBorder="1" applyAlignment="1">
      <alignment horizontal="center" vertical="center"/>
    </xf>
    <xf numFmtId="0" fontId="22" fillId="0" borderId="8" xfId="0" applyFont="1" applyBorder="1" applyAlignment="1">
      <alignment vertical="center"/>
    </xf>
    <xf numFmtId="3" fontId="22" fillId="0" borderId="8" xfId="0" applyNumberFormat="1" applyFont="1" applyBorder="1" applyAlignment="1">
      <alignment vertical="center"/>
    </xf>
    <xf numFmtId="4" fontId="22" fillId="0" borderId="8" xfId="0" applyNumberFormat="1" applyFont="1" applyBorder="1" applyAlignment="1">
      <alignment vertical="center"/>
    </xf>
    <xf numFmtId="4" fontId="22" fillId="0" borderId="57" xfId="0" applyNumberFormat="1" applyFont="1" applyBorder="1" applyAlignment="1">
      <alignment vertical="center"/>
    </xf>
    <xf numFmtId="0" fontId="23" fillId="0" borderId="8" xfId="0" applyFont="1" applyBorder="1" applyAlignment="1">
      <alignment/>
    </xf>
    <xf numFmtId="0" fontId="0" fillId="0" borderId="0" xfId="0" applyFont="1" applyBorder="1" applyAlignment="1">
      <alignment horizontal="center" vertical="center"/>
    </xf>
    <xf numFmtId="0" fontId="22" fillId="0" borderId="0" xfId="0" applyFont="1" applyBorder="1" applyAlignment="1">
      <alignment vertical="center"/>
    </xf>
    <xf numFmtId="3" fontId="22" fillId="0" borderId="0" xfId="0" applyNumberFormat="1" applyFont="1" applyBorder="1" applyAlignment="1">
      <alignment vertical="center"/>
    </xf>
    <xf numFmtId="4" fontId="22" fillId="0" borderId="0" xfId="0" applyNumberFormat="1" applyFont="1" applyBorder="1" applyAlignment="1">
      <alignment vertical="center"/>
    </xf>
    <xf numFmtId="0" fontId="23" fillId="0" borderId="0" xfId="0" applyFont="1" applyBorder="1" applyAlignment="1">
      <alignment/>
    </xf>
    <xf numFmtId="4" fontId="23" fillId="0" borderId="0" xfId="0" applyNumberFormat="1" applyFont="1" applyBorder="1" applyAlignment="1">
      <alignment/>
    </xf>
    <xf numFmtId="0" fontId="23" fillId="0" borderId="1" xfId="0" applyFont="1" applyFill="1" applyBorder="1" applyAlignment="1">
      <alignment/>
    </xf>
    <xf numFmtId="0" fontId="23" fillId="0" borderId="39" xfId="0" applyFont="1" applyFill="1" applyBorder="1" applyAlignment="1">
      <alignment/>
    </xf>
    <xf numFmtId="0" fontId="23" fillId="0" borderId="35" xfId="0" applyFont="1" applyFill="1" applyBorder="1" applyAlignment="1">
      <alignment vertical="center"/>
    </xf>
    <xf numFmtId="3" fontId="23" fillId="0" borderId="35" xfId="0" applyNumberFormat="1" applyFont="1" applyFill="1" applyBorder="1" applyAlignment="1">
      <alignment vertical="center"/>
    </xf>
    <xf numFmtId="4" fontId="23" fillId="0" borderId="35" xfId="0" applyNumberFormat="1" applyFont="1" applyFill="1" applyBorder="1" applyAlignment="1">
      <alignment vertical="center"/>
    </xf>
    <xf numFmtId="0" fontId="23" fillId="0" borderId="35" xfId="0" applyFont="1" applyFill="1" applyBorder="1" applyAlignment="1">
      <alignment/>
    </xf>
    <xf numFmtId="0" fontId="0" fillId="0" borderId="1" xfId="0" applyFont="1" applyFill="1" applyBorder="1" applyAlignment="1">
      <alignment horizontal="left"/>
    </xf>
    <xf numFmtId="0" fontId="24" fillId="0" borderId="0" xfId="0" applyFont="1" applyFill="1" applyBorder="1" applyAlignment="1">
      <alignment/>
    </xf>
    <xf numFmtId="0" fontId="0" fillId="0" borderId="1" xfId="0" applyFont="1" applyFill="1" applyBorder="1" applyAlignment="1">
      <alignment/>
    </xf>
    <xf numFmtId="4" fontId="25" fillId="0" borderId="1" xfId="0" applyNumberFormat="1" applyFont="1" applyFill="1" applyBorder="1" applyAlignment="1">
      <alignment horizontal="right" vertical="center"/>
    </xf>
    <xf numFmtId="4" fontId="25" fillId="0" borderId="39" xfId="0" applyNumberFormat="1" applyFont="1" applyFill="1" applyBorder="1" applyAlignment="1">
      <alignment horizontal="right" vertical="center"/>
    </xf>
    <xf numFmtId="0" fontId="0" fillId="0" borderId="39" xfId="0" applyFill="1" applyBorder="1" applyAlignment="1">
      <alignment/>
    </xf>
    <xf numFmtId="0" fontId="1" fillId="0" borderId="8" xfId="0" applyFont="1" applyFill="1" applyBorder="1" applyAlignment="1">
      <alignment/>
    </xf>
    <xf numFmtId="0" fontId="1" fillId="0" borderId="8"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4" xfId="0" applyFill="1" applyBorder="1" applyAlignment="1">
      <alignment horizontal="center" vertical="center"/>
    </xf>
    <xf numFmtId="0" fontId="23" fillId="0" borderId="24" xfId="0" applyFont="1" applyFill="1" applyBorder="1" applyAlignment="1">
      <alignment vertical="center"/>
    </xf>
    <xf numFmtId="3" fontId="23" fillId="0" borderId="24" xfId="0" applyNumberFormat="1" applyFont="1" applyFill="1" applyBorder="1" applyAlignment="1">
      <alignment vertical="center"/>
    </xf>
    <xf numFmtId="4" fontId="23" fillId="0" borderId="24" xfId="0" applyNumberFormat="1" applyFont="1" applyFill="1" applyBorder="1" applyAlignment="1">
      <alignment vertical="center"/>
    </xf>
    <xf numFmtId="4" fontId="23" fillId="0" borderId="43" xfId="0" applyNumberFormat="1" applyFont="1" applyFill="1" applyBorder="1" applyAlignment="1">
      <alignment vertical="center"/>
    </xf>
    <xf numFmtId="0" fontId="23" fillId="0" borderId="26" xfId="0" applyFont="1" applyFill="1" applyBorder="1" applyAlignment="1">
      <alignment vertical="center"/>
    </xf>
    <xf numFmtId="0" fontId="0" fillId="0" borderId="17" xfId="0" applyFill="1" applyBorder="1" applyAlignment="1">
      <alignment/>
    </xf>
    <xf numFmtId="0" fontId="23" fillId="0" borderId="19" xfId="0" applyFont="1" applyFill="1" applyBorder="1" applyAlignment="1">
      <alignment vertical="center"/>
    </xf>
    <xf numFmtId="0" fontId="0" fillId="0" borderId="38" xfId="0" applyFill="1" applyBorder="1" applyAlignment="1">
      <alignment/>
    </xf>
    <xf numFmtId="4" fontId="23" fillId="0" borderId="50" xfId="0" applyNumberFormat="1" applyFont="1" applyFill="1" applyBorder="1" applyAlignment="1">
      <alignment vertical="center"/>
    </xf>
    <xf numFmtId="0" fontId="23" fillId="0" borderId="40" xfId="0" applyFont="1" applyFill="1" applyBorder="1" applyAlignment="1">
      <alignment vertical="center"/>
    </xf>
    <xf numFmtId="0" fontId="0" fillId="0" borderId="44" xfId="0" applyFill="1" applyBorder="1" applyAlignment="1">
      <alignment/>
    </xf>
    <xf numFmtId="0" fontId="0" fillId="0" borderId="29" xfId="0" applyFill="1" applyBorder="1" applyAlignment="1">
      <alignment/>
    </xf>
    <xf numFmtId="0" fontId="23" fillId="0" borderId="27" xfId="0" applyFont="1" applyFill="1" applyBorder="1" applyAlignment="1">
      <alignment vertical="center"/>
    </xf>
    <xf numFmtId="0" fontId="1" fillId="7" borderId="8" xfId="0" applyFont="1" applyFill="1" applyBorder="1" applyAlignment="1">
      <alignment/>
    </xf>
    <xf numFmtId="0" fontId="22" fillId="8" borderId="8" xfId="0" applyFont="1" applyFill="1" applyBorder="1" applyAlignment="1">
      <alignment/>
    </xf>
    <xf numFmtId="3" fontId="22" fillId="8" borderId="8" xfId="0" applyNumberFormat="1" applyFont="1" applyFill="1" applyBorder="1" applyAlignment="1">
      <alignment/>
    </xf>
    <xf numFmtId="3" fontId="22" fillId="8" borderId="0" xfId="0" applyNumberFormat="1" applyFont="1" applyFill="1" applyAlignment="1">
      <alignment/>
    </xf>
    <xf numFmtId="4" fontId="22" fillId="8" borderId="0" xfId="0" applyNumberFormat="1" applyFont="1" applyFill="1" applyAlignment="1">
      <alignment/>
    </xf>
    <xf numFmtId="4" fontId="22" fillId="8" borderId="8" xfId="0" applyNumberFormat="1" applyFont="1" applyFill="1" applyBorder="1" applyAlignment="1">
      <alignment/>
    </xf>
    <xf numFmtId="3" fontId="22" fillId="7" borderId="8" xfId="0" applyNumberFormat="1" applyFont="1" applyFill="1" applyBorder="1" applyAlignment="1">
      <alignment/>
    </xf>
    <xf numFmtId="0" fontId="22" fillId="7" borderId="8" xfId="0" applyFont="1" applyFill="1" applyBorder="1" applyAlignment="1">
      <alignment/>
    </xf>
    <xf numFmtId="0" fontId="1" fillId="7" borderId="0" xfId="0" applyFont="1" applyFill="1" applyAlignment="1">
      <alignment/>
    </xf>
    <xf numFmtId="0" fontId="1" fillId="8"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23" fillId="0" borderId="0" xfId="0" applyFont="1" applyAlignment="1">
      <alignment/>
    </xf>
    <xf numFmtId="4" fontId="7" fillId="0" borderId="0" xfId="0" applyNumberFormat="1" applyFont="1" applyBorder="1" applyAlignment="1">
      <alignment horizontal="right" vertical="center"/>
    </xf>
    <xf numFmtId="0" fontId="8" fillId="0" borderId="0" xfId="0" applyFont="1" applyBorder="1" applyAlignment="1">
      <alignment vertical="center"/>
    </xf>
    <xf numFmtId="0" fontId="0" fillId="0" borderId="0" xfId="0" applyBorder="1" applyAlignment="1">
      <alignment/>
    </xf>
    <xf numFmtId="0" fontId="8" fillId="0" borderId="58" xfId="0" applyFont="1" applyBorder="1" applyAlignment="1">
      <alignment vertical="center"/>
    </xf>
    <xf numFmtId="0" fontId="8" fillId="0" borderId="59" xfId="0" applyFont="1" applyBorder="1" applyAlignment="1">
      <alignment vertical="center"/>
    </xf>
    <xf numFmtId="0" fontId="8" fillId="0" borderId="59" xfId="0" applyFont="1" applyBorder="1" applyAlignment="1">
      <alignment horizontal="right" vertical="center"/>
    </xf>
    <xf numFmtId="0" fontId="8" fillId="0" borderId="60" xfId="0" applyFont="1" applyBorder="1" applyAlignment="1">
      <alignment horizontal="right" vertical="center"/>
    </xf>
    <xf numFmtId="4" fontId="8" fillId="0" borderId="0" xfId="0" applyNumberFormat="1" applyFont="1" applyFill="1" applyBorder="1" applyAlignment="1">
      <alignment horizontal="right" vertical="center"/>
    </xf>
    <xf numFmtId="0" fontId="8" fillId="0" borderId="0" xfId="0" applyFont="1" applyBorder="1" applyAlignment="1">
      <alignment horizontal="right" vertical="center"/>
    </xf>
    <xf numFmtId="4" fontId="8" fillId="0" borderId="61" xfId="0" applyNumberFormat="1" applyFont="1" applyBorder="1" applyAlignment="1">
      <alignment vertical="center"/>
    </xf>
    <xf numFmtId="4" fontId="8" fillId="0" borderId="62" xfId="0" applyNumberFormat="1" applyFont="1" applyBorder="1" applyAlignment="1">
      <alignment vertical="center"/>
    </xf>
    <xf numFmtId="4" fontId="8" fillId="0" borderId="15" xfId="0" applyNumberFormat="1" applyFont="1" applyBorder="1" applyAlignment="1">
      <alignment vertical="center"/>
    </xf>
    <xf numFmtId="4" fontId="8" fillId="0" borderId="63" xfId="0" applyNumberFormat="1" applyFont="1" applyBorder="1" applyAlignment="1">
      <alignment vertical="center"/>
    </xf>
    <xf numFmtId="0" fontId="6" fillId="0" borderId="0" xfId="0" applyFont="1" applyAlignment="1">
      <alignment/>
    </xf>
    <xf numFmtId="4" fontId="8" fillId="0" borderId="0" xfId="0" applyNumberFormat="1" applyFont="1" applyBorder="1" applyAlignment="1">
      <alignment vertical="center"/>
    </xf>
    <xf numFmtId="4" fontId="8" fillId="0" borderId="45" xfId="0" applyNumberFormat="1" applyFont="1" applyBorder="1" applyAlignment="1">
      <alignment vertical="center"/>
    </xf>
    <xf numFmtId="4" fontId="8" fillId="0" borderId="18" xfId="0" applyNumberFormat="1" applyFont="1" applyBorder="1" applyAlignment="1">
      <alignment vertical="center"/>
    </xf>
    <xf numFmtId="4" fontId="8" fillId="0" borderId="47" xfId="0" applyNumberFormat="1" applyFont="1" applyBorder="1" applyAlignment="1">
      <alignment vertical="center"/>
    </xf>
    <xf numFmtId="4" fontId="13" fillId="0" borderId="0" xfId="0" applyNumberFormat="1" applyFont="1" applyFill="1" applyBorder="1" applyAlignment="1">
      <alignment vertical="center"/>
    </xf>
    <xf numFmtId="4" fontId="26" fillId="0" borderId="0" xfId="0" applyNumberFormat="1" applyFont="1" applyBorder="1" applyAlignment="1">
      <alignment vertical="center"/>
    </xf>
    <xf numFmtId="4" fontId="27" fillId="0" borderId="64" xfId="0" applyNumberFormat="1" applyFont="1" applyBorder="1" applyAlignment="1">
      <alignment vertical="center"/>
    </xf>
    <xf numFmtId="4" fontId="27" fillId="0" borderId="65" xfId="0" applyNumberFormat="1" applyFont="1" applyBorder="1" applyAlignment="1">
      <alignment vertical="center"/>
    </xf>
    <xf numFmtId="4" fontId="8" fillId="0" borderId="66" xfId="0" applyNumberFormat="1" applyFont="1" applyBorder="1" applyAlignment="1">
      <alignment vertical="center" wrapText="1"/>
    </xf>
    <xf numFmtId="4" fontId="8" fillId="0" borderId="66" xfId="0" applyNumberFormat="1" applyFont="1" applyBorder="1" applyAlignment="1">
      <alignment vertical="center"/>
    </xf>
    <xf numFmtId="4" fontId="8" fillId="0" borderId="67" xfId="0" applyNumberFormat="1" applyFont="1" applyBorder="1" applyAlignment="1">
      <alignment vertical="center"/>
    </xf>
    <xf numFmtId="4" fontId="28" fillId="6" borderId="49" xfId="0" applyNumberFormat="1" applyFont="1" applyFill="1" applyBorder="1" applyAlignment="1">
      <alignment vertical="center"/>
    </xf>
    <xf numFmtId="4" fontId="28" fillId="6" borderId="6" xfId="0" applyNumberFormat="1" applyFont="1" applyFill="1" applyBorder="1" applyAlignment="1">
      <alignment vertical="center"/>
    </xf>
    <xf numFmtId="4" fontId="28" fillId="6" borderId="68" xfId="0" applyNumberFormat="1" applyFont="1" applyFill="1" applyBorder="1" applyAlignment="1">
      <alignment vertical="center"/>
    </xf>
    <xf numFmtId="4" fontId="28" fillId="6" borderId="69" xfId="0" applyNumberFormat="1" applyFont="1" applyFill="1" applyBorder="1" applyAlignment="1">
      <alignment vertical="center"/>
    </xf>
    <xf numFmtId="4" fontId="28" fillId="6" borderId="51" xfId="0" applyNumberFormat="1" applyFont="1" applyFill="1" applyBorder="1" applyAlignment="1">
      <alignment vertical="center"/>
    </xf>
    <xf numFmtId="4" fontId="28" fillId="0" borderId="0" xfId="0" applyNumberFormat="1" applyFont="1" applyFill="1" applyBorder="1" applyAlignment="1">
      <alignment vertical="center"/>
    </xf>
    <xf numFmtId="0" fontId="29" fillId="0" borderId="0" xfId="0" applyFont="1" applyBorder="1" applyAlignment="1">
      <alignment vertical="center"/>
    </xf>
    <xf numFmtId="0" fontId="0" fillId="0" borderId="0" xfId="0" applyFill="1" applyAlignment="1">
      <alignment/>
    </xf>
    <xf numFmtId="0" fontId="8" fillId="0" borderId="0" xfId="0" applyFont="1" applyAlignment="1">
      <alignment vertical="center"/>
    </xf>
    <xf numFmtId="0" fontId="30" fillId="0" borderId="70" xfId="0" applyFont="1" applyFill="1" applyBorder="1" applyAlignment="1">
      <alignment horizontal="center" vertical="center"/>
    </xf>
    <xf numFmtId="0" fontId="30" fillId="0" borderId="71" xfId="0" applyFont="1" applyFill="1" applyBorder="1" applyAlignment="1">
      <alignment horizontal="center" vertical="center"/>
    </xf>
    <xf numFmtId="0" fontId="8" fillId="0" borderId="72" xfId="0" applyFont="1" applyFill="1" applyBorder="1" applyAlignment="1">
      <alignment horizontal="right" vertical="center" wrapText="1"/>
    </xf>
    <xf numFmtId="4" fontId="8" fillId="0" borderId="72" xfId="0" applyNumberFormat="1" applyFont="1" applyFill="1" applyBorder="1" applyAlignment="1">
      <alignment horizontal="right" vertical="center"/>
    </xf>
    <xf numFmtId="4" fontId="8" fillId="0" borderId="73" xfId="0" applyNumberFormat="1" applyFont="1" applyFill="1" applyBorder="1" applyAlignment="1">
      <alignment horizontal="right" vertical="center"/>
    </xf>
    <xf numFmtId="4" fontId="31" fillId="0" borderId="0" xfId="0" applyNumberFormat="1" applyFont="1" applyFill="1" applyBorder="1" applyAlignment="1">
      <alignment vertical="center"/>
    </xf>
    <xf numFmtId="0" fontId="8" fillId="0" borderId="45" xfId="0" applyFont="1" applyFill="1" applyBorder="1" applyAlignment="1">
      <alignment vertical="center"/>
    </xf>
    <xf numFmtId="4" fontId="8" fillId="0" borderId="15" xfId="0" applyNumberFormat="1" applyFont="1" applyFill="1" applyBorder="1" applyAlignment="1">
      <alignment horizontal="right" vertical="center"/>
    </xf>
    <xf numFmtId="4" fontId="8" fillId="0" borderId="63" xfId="0" applyNumberFormat="1" applyFont="1" applyFill="1" applyBorder="1" applyAlignment="1">
      <alignment horizontal="right" vertical="center"/>
    </xf>
    <xf numFmtId="0" fontId="8" fillId="0" borderId="44" xfId="0" applyFont="1" applyFill="1" applyBorder="1" applyAlignment="1">
      <alignment vertical="center"/>
    </xf>
    <xf numFmtId="0" fontId="8" fillId="0" borderId="52" xfId="0" applyFont="1" applyFill="1" applyBorder="1" applyAlignment="1">
      <alignment vertical="center"/>
    </xf>
    <xf numFmtId="4" fontId="8" fillId="0" borderId="39" xfId="0" applyNumberFormat="1" applyFont="1" applyBorder="1" applyAlignment="1">
      <alignment vertical="center"/>
    </xf>
    <xf numFmtId="4" fontId="8" fillId="0" borderId="42" xfId="0" applyNumberFormat="1" applyFont="1" applyFill="1" applyBorder="1" applyAlignment="1">
      <alignment horizontal="right" vertical="center"/>
    </xf>
    <xf numFmtId="0" fontId="8" fillId="0" borderId="7" xfId="0" applyFont="1" applyFill="1" applyBorder="1" applyAlignment="1">
      <alignment vertical="center"/>
    </xf>
    <xf numFmtId="0" fontId="8" fillId="0" borderId="21" xfId="0" applyFont="1" applyFill="1" applyBorder="1" applyAlignment="1">
      <alignment vertical="center"/>
    </xf>
    <xf numFmtId="4" fontId="8" fillId="0" borderId="21" xfId="0" applyNumberFormat="1" applyFont="1" applyFill="1" applyBorder="1" applyAlignment="1">
      <alignment horizontal="right" vertical="center"/>
    </xf>
    <xf numFmtId="4" fontId="8" fillId="0" borderId="57" xfId="0" applyNumberFormat="1" applyFont="1" applyFill="1" applyBorder="1" applyAlignment="1">
      <alignment horizontal="right" vertical="center"/>
    </xf>
    <xf numFmtId="0" fontId="31" fillId="0" borderId="0" xfId="0" applyFont="1" applyBorder="1" applyAlignment="1">
      <alignment vertical="center"/>
    </xf>
    <xf numFmtId="3" fontId="31" fillId="0" borderId="0" xfId="0" applyNumberFormat="1" applyFont="1" applyBorder="1" applyAlignment="1">
      <alignment vertical="center"/>
    </xf>
    <xf numFmtId="4" fontId="31" fillId="0" borderId="0" xfId="0" applyNumberFormat="1" applyFont="1" applyBorder="1" applyAlignment="1">
      <alignment vertical="center"/>
    </xf>
    <xf numFmtId="3" fontId="8" fillId="0" borderId="60" xfId="0" applyNumberFormat="1" applyFont="1" applyBorder="1" applyAlignment="1">
      <alignment horizontal="right" vertical="center"/>
    </xf>
    <xf numFmtId="0" fontId="8" fillId="0" borderId="3" xfId="0" applyFont="1" applyBorder="1" applyAlignment="1">
      <alignment vertical="center"/>
    </xf>
    <xf numFmtId="0" fontId="8" fillId="0" borderId="52" xfId="0" applyFont="1" applyBorder="1" applyAlignment="1">
      <alignment vertical="center"/>
    </xf>
    <xf numFmtId="0" fontId="8" fillId="0" borderId="41" xfId="0" applyFont="1" applyBorder="1" applyAlignment="1">
      <alignment vertical="center"/>
    </xf>
    <xf numFmtId="0" fontId="8" fillId="0" borderId="74" xfId="0" applyFont="1" applyBorder="1" applyAlignment="1">
      <alignment vertical="center"/>
    </xf>
    <xf numFmtId="0" fontId="8" fillId="0" borderId="45" xfId="0" applyFont="1" applyBorder="1" applyAlignment="1">
      <alignment vertical="center"/>
    </xf>
    <xf numFmtId="0" fontId="8" fillId="0" borderId="18" xfId="0" applyFont="1" applyBorder="1" applyAlignment="1">
      <alignment vertical="center"/>
    </xf>
    <xf numFmtId="0" fontId="8" fillId="0" borderId="75" xfId="0" applyFont="1" applyBorder="1" applyAlignment="1">
      <alignment vertical="center"/>
    </xf>
    <xf numFmtId="0" fontId="8" fillId="0" borderId="15" xfId="0" applyFont="1" applyBorder="1" applyAlignment="1">
      <alignment vertical="center"/>
    </xf>
    <xf numFmtId="2" fontId="8" fillId="0" borderId="0" xfId="0" applyNumberFormat="1" applyFont="1" applyBorder="1" applyAlignment="1">
      <alignment vertical="center"/>
    </xf>
    <xf numFmtId="0" fontId="28" fillId="6" borderId="49" xfId="0" applyFont="1" applyFill="1" applyBorder="1" applyAlignment="1">
      <alignment vertical="center"/>
    </xf>
    <xf numFmtId="0" fontId="28" fillId="6" borderId="6" xfId="0" applyFont="1" applyFill="1" applyBorder="1" applyAlignment="1">
      <alignment vertical="center"/>
    </xf>
    <xf numFmtId="4" fontId="29" fillId="0" borderId="0" xfId="0" applyNumberFormat="1" applyFont="1" applyFill="1" applyBorder="1" applyAlignment="1">
      <alignment vertical="center"/>
    </xf>
    <xf numFmtId="0" fontId="31" fillId="0" borderId="0" xfId="0" applyFont="1" applyFill="1" applyBorder="1" applyAlignment="1">
      <alignment vertical="center"/>
    </xf>
    <xf numFmtId="3" fontId="8" fillId="0" borderId="0" xfId="0" applyNumberFormat="1" applyFont="1" applyFill="1" applyBorder="1" applyAlignment="1">
      <alignment vertical="center"/>
    </xf>
    <xf numFmtId="4" fontId="31" fillId="0" borderId="0" xfId="0" applyNumberFormat="1" applyFont="1" applyFill="1" applyBorder="1" applyAlignment="1">
      <alignment horizontal="right" vertical="center"/>
    </xf>
    <xf numFmtId="4" fontId="8" fillId="0" borderId="0" xfId="0" applyNumberFormat="1" applyFont="1" applyFill="1" applyBorder="1" applyAlignment="1">
      <alignment vertical="center"/>
    </xf>
    <xf numFmtId="0" fontId="28" fillId="6" borderId="7" xfId="0" applyFont="1" applyFill="1" applyBorder="1" applyAlignment="1">
      <alignment vertical="center" wrapText="1"/>
    </xf>
    <xf numFmtId="0" fontId="28" fillId="6" borderId="21" xfId="0" applyFont="1" applyFill="1" applyBorder="1" applyAlignment="1">
      <alignment horizontal="left" vertical="center" wrapText="1"/>
    </xf>
    <xf numFmtId="4" fontId="28" fillId="6" borderId="53" xfId="0" applyNumberFormat="1" applyFont="1" applyFill="1" applyBorder="1" applyAlignment="1">
      <alignment vertical="center"/>
    </xf>
    <xf numFmtId="4" fontId="28" fillId="6" borderId="13" xfId="0" applyNumberFormat="1" applyFont="1" applyFill="1" applyBorder="1" applyAlignment="1">
      <alignment vertical="center"/>
    </xf>
    <xf numFmtId="4" fontId="28" fillId="6" borderId="57" xfId="0" applyNumberFormat="1" applyFont="1" applyFill="1" applyBorder="1" applyAlignment="1">
      <alignment vertical="center"/>
    </xf>
    <xf numFmtId="4" fontId="28" fillId="0" borderId="0" xfId="0" applyNumberFormat="1" applyFont="1" applyBorder="1" applyAlignment="1">
      <alignment vertical="center"/>
    </xf>
    <xf numFmtId="0" fontId="28" fillId="0" borderId="0" xfId="0" applyFont="1" applyFill="1" applyBorder="1" applyAlignment="1">
      <alignment vertical="center" wrapText="1"/>
    </xf>
    <xf numFmtId="0" fontId="8" fillId="0" borderId="0" xfId="0" applyFont="1" applyBorder="1" applyAlignment="1">
      <alignment wrapText="1"/>
    </xf>
    <xf numFmtId="0" fontId="16" fillId="0" borderId="0" xfId="0" applyFont="1" applyBorder="1" applyAlignment="1">
      <alignment vertical="center"/>
    </xf>
    <xf numFmtId="0" fontId="8" fillId="0" borderId="0" xfId="0" applyFont="1" applyAlignment="1">
      <alignment vertical="center" wrapText="1"/>
    </xf>
    <xf numFmtId="205" fontId="8" fillId="0" borderId="0" xfId="0" applyNumberFormat="1" applyFont="1" applyBorder="1" applyAlignment="1">
      <alignment vertical="center"/>
    </xf>
    <xf numFmtId="3" fontId="8" fillId="0" borderId="0" xfId="0" applyNumberFormat="1" applyFont="1" applyBorder="1" applyAlignment="1">
      <alignment vertical="center"/>
    </xf>
    <xf numFmtId="0" fontId="27" fillId="0" borderId="0" xfId="0" applyFont="1" applyBorder="1" applyAlignment="1">
      <alignment vertical="center"/>
    </xf>
    <xf numFmtId="4" fontId="27" fillId="0" borderId="0" xfId="0" applyNumberFormat="1" applyFont="1" applyBorder="1" applyAlignment="1">
      <alignment vertical="center"/>
    </xf>
    <xf numFmtId="205" fontId="13" fillId="0" borderId="0" xfId="0" applyNumberFormat="1" applyFont="1" applyBorder="1" applyAlignment="1">
      <alignment vertical="center"/>
    </xf>
    <xf numFmtId="3" fontId="7" fillId="6" borderId="8" xfId="0" applyNumberFormat="1" applyFont="1" applyFill="1" applyBorder="1" applyAlignment="1">
      <alignment horizontal="center" vertical="center" wrapText="1"/>
    </xf>
    <xf numFmtId="4" fontId="7" fillId="6" borderId="57" xfId="0" applyNumberFormat="1"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0" borderId="0" xfId="0" applyFont="1" applyAlignment="1">
      <alignment vertical="center"/>
    </xf>
    <xf numFmtId="4" fontId="9" fillId="0" borderId="0" xfId="0" applyNumberFormat="1" applyFont="1" applyAlignment="1">
      <alignment vertical="center"/>
    </xf>
    <xf numFmtId="3" fontId="7" fillId="0" borderId="10" xfId="0" applyNumberFormat="1" applyFont="1" applyFill="1" applyBorder="1" applyAlignment="1">
      <alignment vertical="center"/>
    </xf>
    <xf numFmtId="4" fontId="7" fillId="0" borderId="10" xfId="0" applyNumberFormat="1" applyFont="1" applyBorder="1" applyAlignment="1">
      <alignment vertical="center"/>
    </xf>
    <xf numFmtId="4" fontId="7" fillId="0" borderId="10" xfId="0" applyNumberFormat="1" applyFont="1" applyFill="1" applyBorder="1" applyAlignment="1">
      <alignment vertical="center"/>
    </xf>
    <xf numFmtId="3" fontId="7" fillId="0" borderId="10" xfId="0" applyNumberFormat="1" applyFont="1" applyBorder="1" applyAlignment="1">
      <alignment vertical="center"/>
    </xf>
    <xf numFmtId="4" fontId="8" fillId="0" borderId="0" xfId="0" applyNumberFormat="1" applyFont="1" applyAlignment="1">
      <alignment vertical="center"/>
    </xf>
    <xf numFmtId="4" fontId="13" fillId="0" borderId="0" xfId="0" applyNumberFormat="1" applyFont="1" applyAlignment="1">
      <alignment vertical="center"/>
    </xf>
    <xf numFmtId="4" fontId="7" fillId="0" borderId="10" xfId="20" applyNumberFormat="1" applyFont="1" applyBorder="1" applyAlignment="1">
      <alignment vertical="center"/>
    </xf>
    <xf numFmtId="4" fontId="7" fillId="0" borderId="5" xfId="0" applyNumberFormat="1" applyFont="1" applyBorder="1" applyAlignment="1">
      <alignment vertical="center"/>
    </xf>
    <xf numFmtId="3" fontId="14" fillId="0" borderId="8" xfId="0" applyNumberFormat="1" applyFont="1" applyBorder="1" applyAlignment="1">
      <alignment vertical="center"/>
    </xf>
    <xf numFmtId="4" fontId="14" fillId="0" borderId="8" xfId="0" applyNumberFormat="1" applyFont="1" applyBorder="1" applyAlignment="1">
      <alignment vertical="center"/>
    </xf>
    <xf numFmtId="4" fontId="9" fillId="0" borderId="8" xfId="0" applyNumberFormat="1" applyFont="1" applyBorder="1" applyAlignment="1">
      <alignment vertical="center"/>
    </xf>
    <xf numFmtId="0" fontId="13" fillId="0" borderId="0" xfId="0" applyFont="1" applyAlignment="1">
      <alignment vertical="center"/>
    </xf>
    <xf numFmtId="3" fontId="7" fillId="0" borderId="76" xfId="0" applyNumberFormat="1" applyFont="1" applyBorder="1" applyAlignment="1">
      <alignment vertical="center"/>
    </xf>
    <xf numFmtId="0" fontId="7" fillId="0" borderId="74" xfId="0" applyFont="1" applyFill="1" applyBorder="1" applyAlignment="1">
      <alignment vertical="center" wrapText="1"/>
    </xf>
    <xf numFmtId="3" fontId="7" fillId="0" borderId="10" xfId="0" applyNumberFormat="1" applyFont="1" applyBorder="1" applyAlignment="1">
      <alignment vertical="center" wrapText="1"/>
    </xf>
    <xf numFmtId="0" fontId="32" fillId="0" borderId="0" xfId="0" applyFont="1" applyAlignment="1">
      <alignment vertical="center"/>
    </xf>
    <xf numFmtId="3" fontId="14" fillId="6" borderId="10" xfId="0" applyNumberFormat="1" applyFont="1" applyFill="1" applyBorder="1" applyAlignment="1">
      <alignment vertical="center"/>
    </xf>
    <xf numFmtId="4" fontId="14" fillId="6" borderId="10" xfId="0" applyNumberFormat="1" applyFont="1" applyFill="1" applyBorder="1" applyAlignment="1">
      <alignment vertical="center"/>
    </xf>
    <xf numFmtId="4" fontId="9" fillId="6" borderId="10" xfId="0" applyNumberFormat="1" applyFont="1" applyFill="1" applyBorder="1" applyAlignment="1">
      <alignment vertical="center"/>
    </xf>
    <xf numFmtId="4" fontId="33" fillId="0" borderId="0" xfId="0" applyNumberFormat="1" applyFont="1" applyAlignment="1">
      <alignment vertical="center"/>
    </xf>
    <xf numFmtId="3" fontId="14" fillId="0" borderId="10" xfId="0" applyNumberFormat="1" applyFont="1" applyFill="1" applyBorder="1" applyAlignment="1">
      <alignment vertical="center"/>
    </xf>
    <xf numFmtId="4" fontId="14" fillId="0" borderId="10" xfId="0" applyNumberFormat="1" applyFont="1" applyFill="1" applyBorder="1" applyAlignment="1">
      <alignment vertical="center"/>
    </xf>
    <xf numFmtId="3" fontId="14" fillId="3" borderId="8" xfId="0" applyNumberFormat="1" applyFont="1" applyFill="1" applyBorder="1" applyAlignment="1">
      <alignment vertical="center"/>
    </xf>
    <xf numFmtId="4" fontId="14" fillId="3" borderId="8" xfId="0" applyNumberFormat="1" applyFont="1" applyFill="1" applyBorder="1" applyAlignment="1">
      <alignment vertical="center"/>
    </xf>
    <xf numFmtId="4" fontId="13" fillId="3" borderId="8" xfId="0" applyNumberFormat="1" applyFont="1" applyFill="1" applyBorder="1" applyAlignment="1">
      <alignment vertical="center"/>
    </xf>
    <xf numFmtId="3" fontId="9" fillId="0" borderId="10" xfId="0" applyNumberFormat="1" applyFont="1" applyBorder="1" applyAlignment="1">
      <alignment vertical="center"/>
    </xf>
    <xf numFmtId="3" fontId="14" fillId="4" borderId="8" xfId="0" applyNumberFormat="1" applyFont="1" applyFill="1" applyBorder="1" applyAlignment="1">
      <alignment vertical="center"/>
    </xf>
    <xf numFmtId="4" fontId="14" fillId="4" borderId="8" xfId="0" applyNumberFormat="1" applyFont="1" applyFill="1" applyBorder="1" applyAlignment="1">
      <alignment vertical="center"/>
    </xf>
    <xf numFmtId="3" fontId="27" fillId="0" borderId="10" xfId="0" applyNumberFormat="1" applyFont="1" applyBorder="1" applyAlignment="1">
      <alignment vertical="center"/>
    </xf>
    <xf numFmtId="4" fontId="9" fillId="0" borderId="10" xfId="0" applyNumberFormat="1" applyFont="1" applyBorder="1" applyAlignment="1">
      <alignment vertical="center"/>
    </xf>
    <xf numFmtId="4" fontId="27" fillId="0" borderId="10" xfId="0" applyNumberFormat="1" applyFont="1" applyBorder="1" applyAlignment="1">
      <alignment vertical="center"/>
    </xf>
    <xf numFmtId="3" fontId="14" fillId="6" borderId="8" xfId="0" applyNumberFormat="1" applyFont="1" applyFill="1" applyBorder="1" applyAlignment="1">
      <alignment vertical="center"/>
    </xf>
    <xf numFmtId="4" fontId="14" fillId="6" borderId="8" xfId="0" applyNumberFormat="1" applyFont="1" applyFill="1" applyBorder="1" applyAlignment="1">
      <alignment vertical="center"/>
    </xf>
    <xf numFmtId="3" fontId="14" fillId="0" borderId="76" xfId="0" applyNumberFormat="1" applyFont="1" applyBorder="1" applyAlignment="1">
      <alignment vertical="center"/>
    </xf>
    <xf numFmtId="4" fontId="27" fillId="0" borderId="76" xfId="0" applyNumberFormat="1" applyFont="1" applyBorder="1" applyAlignment="1">
      <alignment vertical="center"/>
    </xf>
    <xf numFmtId="3" fontId="6" fillId="0" borderId="1"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14" fontId="36" fillId="0" borderId="18" xfId="0" applyNumberFormat="1" applyFont="1" applyFill="1" applyBorder="1" applyAlignment="1">
      <alignment horizontal="center" vertical="center" wrapText="1"/>
    </xf>
    <xf numFmtId="0" fontId="36" fillId="0" borderId="18" xfId="0" applyFont="1" applyFill="1" applyBorder="1" applyAlignment="1">
      <alignment horizontal="center" vertical="center" wrapText="1"/>
    </xf>
    <xf numFmtId="0" fontId="6" fillId="0" borderId="0" xfId="0" applyFont="1" applyFill="1" applyBorder="1" applyAlignment="1">
      <alignment vertical="center"/>
    </xf>
    <xf numFmtId="3" fontId="37" fillId="0" borderId="0"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3" fillId="6" borderId="24" xfId="0" applyFont="1" applyFill="1" applyBorder="1" applyAlignment="1">
      <alignment vertical="center" wrapText="1"/>
    </xf>
    <xf numFmtId="4" fontId="6" fillId="0" borderId="0" xfId="0" applyNumberFormat="1" applyFont="1" applyFill="1" applyBorder="1" applyAlignment="1">
      <alignment vertical="center" wrapText="1"/>
    </xf>
    <xf numFmtId="0" fontId="6" fillId="0" borderId="4"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wrapText="1"/>
    </xf>
    <xf numFmtId="0" fontId="6" fillId="0" borderId="0" xfId="0" applyFont="1" applyFill="1" applyBorder="1" applyAlignment="1">
      <alignment vertical="center" wrapText="1"/>
    </xf>
    <xf numFmtId="3" fontId="37" fillId="0" borderId="0" xfId="0" applyNumberFormat="1" applyFont="1" applyFill="1" applyBorder="1" applyAlignment="1">
      <alignment vertical="center"/>
    </xf>
    <xf numFmtId="3" fontId="38" fillId="0" borderId="0" xfId="0" applyNumberFormat="1" applyFont="1" applyFill="1" applyBorder="1" applyAlignment="1">
      <alignment vertical="center"/>
    </xf>
    <xf numFmtId="3" fontId="6" fillId="0" borderId="0" xfId="0" applyNumberFormat="1" applyFont="1" applyFill="1" applyBorder="1" applyAlignment="1">
      <alignment horizontal="left" vertical="center"/>
    </xf>
    <xf numFmtId="0" fontId="0" fillId="0" borderId="0" xfId="0" applyFill="1" applyBorder="1" applyAlignment="1">
      <alignment vertical="center"/>
    </xf>
    <xf numFmtId="3" fontId="16" fillId="0" borderId="0" xfId="0" applyNumberFormat="1" applyFont="1" applyFill="1" applyBorder="1" applyAlignment="1">
      <alignment vertical="center"/>
    </xf>
    <xf numFmtId="3" fontId="38" fillId="0" borderId="8" xfId="0" applyNumberFormat="1" applyFont="1" applyFill="1" applyBorder="1" applyAlignment="1">
      <alignment vertical="center"/>
    </xf>
    <xf numFmtId="4" fontId="38" fillId="0" borderId="8" xfId="0" applyNumberFormat="1" applyFont="1" applyFill="1" applyBorder="1" applyAlignment="1">
      <alignment horizontal="right" vertical="center"/>
    </xf>
    <xf numFmtId="3" fontId="0" fillId="0" borderId="8" xfId="0" applyNumberFormat="1" applyFill="1" applyBorder="1" applyAlignment="1">
      <alignment vertical="center"/>
    </xf>
    <xf numFmtId="0" fontId="0" fillId="0" borderId="8" xfId="0" applyFill="1" applyBorder="1" applyAlignment="1">
      <alignment vertical="center"/>
    </xf>
    <xf numFmtId="3" fontId="0" fillId="0" borderId="0" xfId="0" applyNumberFormat="1" applyFill="1" applyBorder="1" applyAlignment="1">
      <alignment vertical="center"/>
    </xf>
    <xf numFmtId="4" fontId="38" fillId="0" borderId="0" xfId="0" applyNumberFormat="1" applyFont="1" applyFill="1" applyBorder="1" applyAlignment="1">
      <alignment vertical="center" wrapText="1"/>
    </xf>
    <xf numFmtId="3" fontId="38" fillId="0" borderId="0" xfId="0" applyNumberFormat="1" applyFont="1" applyFill="1" applyBorder="1" applyAlignment="1">
      <alignment vertical="center" wrapText="1"/>
    </xf>
    <xf numFmtId="0" fontId="0" fillId="0" borderId="0" xfId="0" applyFill="1" applyAlignment="1">
      <alignment vertical="center"/>
    </xf>
    <xf numFmtId="0" fontId="6" fillId="0" borderId="52" xfId="0" applyFont="1" applyFill="1" applyBorder="1" applyAlignment="1">
      <alignment vertical="center" wrapText="1"/>
    </xf>
    <xf numFmtId="0" fontId="16" fillId="0" borderId="0" xfId="0" applyFont="1" applyFill="1" applyAlignment="1">
      <alignment vertical="center"/>
    </xf>
    <xf numFmtId="0" fontId="6" fillId="0" borderId="0" xfId="0" applyFont="1" applyFill="1" applyAlignment="1">
      <alignment vertical="center"/>
    </xf>
    <xf numFmtId="0" fontId="6" fillId="0" borderId="52" xfId="0" applyFont="1" applyFill="1" applyBorder="1" applyAlignment="1">
      <alignment vertical="center"/>
    </xf>
    <xf numFmtId="3" fontId="6" fillId="0" borderId="0" xfId="0" applyNumberFormat="1" applyFont="1" applyFill="1" applyBorder="1" applyAlignment="1">
      <alignment horizontal="left" vertical="center" shrinkToFit="1"/>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left" vertical="top" shrinkToFit="1"/>
    </xf>
    <xf numFmtId="4" fontId="38" fillId="0" borderId="8" xfId="0" applyNumberFormat="1" applyFont="1" applyFill="1" applyBorder="1" applyAlignment="1">
      <alignment vertical="center" wrapText="1"/>
    </xf>
    <xf numFmtId="3" fontId="39" fillId="0" borderId="8" xfId="0" applyNumberFormat="1" applyFont="1" applyFill="1" applyBorder="1" applyAlignment="1">
      <alignment vertical="center"/>
    </xf>
    <xf numFmtId="3" fontId="6" fillId="0" borderId="0" xfId="0" applyNumberFormat="1" applyFont="1" applyFill="1" applyBorder="1" applyAlignment="1">
      <alignment horizontal="right" vertical="center"/>
    </xf>
    <xf numFmtId="0" fontId="0" fillId="0" borderId="52" xfId="0" applyFill="1" applyBorder="1" applyAlignment="1">
      <alignment vertical="top" shrinkToFit="1"/>
    </xf>
    <xf numFmtId="3" fontId="40" fillId="0" borderId="0" xfId="0" applyNumberFormat="1" applyFont="1" applyFill="1" applyBorder="1" applyAlignment="1">
      <alignment vertical="center"/>
    </xf>
    <xf numFmtId="4" fontId="6" fillId="0" borderId="0" xfId="0" applyNumberFormat="1" applyFont="1" applyFill="1" applyBorder="1" applyAlignment="1">
      <alignment horizontal="right" vertical="center"/>
    </xf>
    <xf numFmtId="4" fontId="6" fillId="0" borderId="0" xfId="0" applyNumberFormat="1" applyFont="1" applyFill="1" applyBorder="1" applyAlignment="1">
      <alignment vertical="center"/>
    </xf>
    <xf numFmtId="4" fontId="0" fillId="0" borderId="0" xfId="0" applyNumberFormat="1" applyFill="1" applyBorder="1" applyAlignment="1">
      <alignment vertical="center"/>
    </xf>
    <xf numFmtId="4" fontId="38" fillId="0" borderId="20" xfId="0" applyNumberFormat="1" applyFont="1" applyFill="1" applyBorder="1" applyAlignment="1">
      <alignment vertical="center" wrapText="1"/>
    </xf>
    <xf numFmtId="4" fontId="38" fillId="0" borderId="53" xfId="0" applyNumberFormat="1" applyFont="1" applyFill="1" applyBorder="1" applyAlignment="1">
      <alignment vertical="center" wrapText="1"/>
    </xf>
    <xf numFmtId="3" fontId="0" fillId="0" borderId="57" xfId="0" applyNumberFormat="1" applyFill="1" applyBorder="1" applyAlignment="1">
      <alignment vertical="center"/>
    </xf>
    <xf numFmtId="4" fontId="0" fillId="0" borderId="0" xfId="0" applyNumberFormat="1" applyFill="1" applyBorder="1" applyAlignment="1">
      <alignment vertical="center" wrapText="1"/>
    </xf>
    <xf numFmtId="3" fontId="6" fillId="0" borderId="0" xfId="0" applyNumberFormat="1" applyFont="1" applyFill="1" applyBorder="1" applyAlignment="1">
      <alignment vertical="center" wrapText="1"/>
    </xf>
    <xf numFmtId="3" fontId="37" fillId="0" borderId="77" xfId="0" applyNumberFormat="1" applyFont="1" applyFill="1" applyBorder="1" applyAlignment="1">
      <alignment vertical="center"/>
    </xf>
    <xf numFmtId="3" fontId="16" fillId="0" borderId="77" xfId="0" applyNumberFormat="1" applyFont="1" applyFill="1" applyBorder="1" applyAlignment="1">
      <alignment vertical="center"/>
    </xf>
    <xf numFmtId="3" fontId="6" fillId="0" borderId="77" xfId="0" applyNumberFormat="1" applyFont="1" applyFill="1" applyBorder="1" applyAlignment="1">
      <alignment horizontal="left" vertical="center" shrinkToFit="1"/>
    </xf>
    <xf numFmtId="0" fontId="0" fillId="0" borderId="77" xfId="0" applyFill="1" applyBorder="1" applyAlignment="1">
      <alignment vertical="center"/>
    </xf>
    <xf numFmtId="0" fontId="0" fillId="0" borderId="0" xfId="0" applyFill="1" applyAlignment="1">
      <alignment horizontal="left" vertical="center" shrinkToFit="1"/>
    </xf>
    <xf numFmtId="3" fontId="1" fillId="0" borderId="0" xfId="0" applyNumberFormat="1" applyFont="1" applyFill="1" applyBorder="1" applyAlignment="1">
      <alignment vertical="center"/>
    </xf>
    <xf numFmtId="4" fontId="16" fillId="0" borderId="0" xfId="0" applyNumberFormat="1" applyFont="1" applyFill="1" applyBorder="1" applyAlignment="1">
      <alignment vertical="center"/>
    </xf>
    <xf numFmtId="0" fontId="1" fillId="0" borderId="0" xfId="0" applyFont="1" applyFill="1" applyBorder="1" applyAlignment="1">
      <alignment vertical="center"/>
    </xf>
    <xf numFmtId="14" fontId="36" fillId="0" borderId="1"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center"/>
    </xf>
    <xf numFmtId="0" fontId="6" fillId="0" borderId="0" xfId="0" applyFont="1" applyBorder="1" applyAlignment="1">
      <alignment horizontal="left" vertical="center"/>
    </xf>
    <xf numFmtId="0" fontId="1" fillId="0" borderId="0" xfId="0" applyFont="1" applyFill="1" applyAlignment="1">
      <alignment vertical="center"/>
    </xf>
    <xf numFmtId="3" fontId="16" fillId="0" borderId="0" xfId="0" applyNumberFormat="1" applyFont="1" applyFill="1" applyBorder="1" applyAlignment="1">
      <alignment vertical="center" wrapText="1"/>
    </xf>
    <xf numFmtId="4" fontId="16" fillId="0" borderId="0" xfId="0" applyNumberFormat="1" applyFont="1" applyFill="1" applyBorder="1" applyAlignment="1">
      <alignment vertical="center" wrapText="1"/>
    </xf>
    <xf numFmtId="0" fontId="16" fillId="0" borderId="52" xfId="0" applyFont="1" applyFill="1" applyBorder="1" applyAlignment="1">
      <alignment vertical="center" wrapText="1"/>
    </xf>
    <xf numFmtId="3" fontId="6" fillId="0" borderId="77" xfId="0" applyNumberFormat="1" applyFont="1" applyFill="1" applyBorder="1" applyAlignment="1">
      <alignment vertical="center"/>
    </xf>
    <xf numFmtId="3" fontId="6" fillId="0" borderId="77" xfId="0" applyNumberFormat="1" applyFont="1" applyFill="1" applyBorder="1" applyAlignment="1">
      <alignment horizontal="left" vertical="center"/>
    </xf>
    <xf numFmtId="0" fontId="6" fillId="0" borderId="0" xfId="0" applyFont="1" applyFill="1" applyAlignment="1">
      <alignment horizontal="left" vertical="center"/>
    </xf>
    <xf numFmtId="0" fontId="0" fillId="0" borderId="0" xfId="0" applyFill="1" applyAlignment="1">
      <alignment horizontal="left" vertical="center" wrapText="1" shrinkToFit="1"/>
    </xf>
    <xf numFmtId="3" fontId="40" fillId="0" borderId="0" xfId="0" applyNumberFormat="1" applyFont="1" applyFill="1" applyBorder="1" applyAlignment="1">
      <alignment vertical="center"/>
    </xf>
    <xf numFmtId="0" fontId="1" fillId="0" borderId="0" xfId="0" applyFont="1" applyFill="1" applyAlignment="1">
      <alignment horizontal="left" vertical="center" wrapText="1" shrinkToFit="1"/>
    </xf>
    <xf numFmtId="3" fontId="38" fillId="0" borderId="8" xfId="0" applyNumberFormat="1" applyFont="1" applyFill="1" applyBorder="1" applyAlignment="1">
      <alignment vertical="center" wrapText="1"/>
    </xf>
    <xf numFmtId="0" fontId="22" fillId="0" borderId="0" xfId="0" applyFont="1" applyAlignment="1">
      <alignment/>
    </xf>
    <xf numFmtId="0" fontId="0" fillId="0" borderId="0" xfId="0" applyAlignment="1">
      <alignment horizontal="right"/>
    </xf>
    <xf numFmtId="0" fontId="13" fillId="6" borderId="23" xfId="0" applyFont="1" applyFill="1" applyBorder="1" applyAlignment="1">
      <alignment vertical="center" wrapText="1"/>
    </xf>
    <xf numFmtId="0" fontId="37" fillId="0" borderId="0" xfId="0" applyFont="1" applyAlignment="1">
      <alignment/>
    </xf>
    <xf numFmtId="0" fontId="37" fillId="0" borderId="0" xfId="0" applyFont="1" applyFill="1" applyAlignment="1">
      <alignment/>
    </xf>
    <xf numFmtId="0" fontId="23" fillId="0" borderId="0" xfId="0" applyFont="1" applyFill="1" applyAlignment="1">
      <alignment/>
    </xf>
    <xf numFmtId="0" fontId="0" fillId="0" borderId="0" xfId="0" applyFill="1" applyAlignment="1">
      <alignment horizontal="right"/>
    </xf>
    <xf numFmtId="0" fontId="22" fillId="0" borderId="0" xfId="0" applyFont="1" applyFill="1" applyAlignment="1">
      <alignment/>
    </xf>
    <xf numFmtId="0" fontId="0" fillId="0" borderId="0" xfId="0" applyFont="1" applyFill="1" applyAlignment="1">
      <alignment/>
    </xf>
    <xf numFmtId="0" fontId="22" fillId="0" borderId="0" xfId="0" applyFont="1" applyFill="1" applyAlignment="1">
      <alignment/>
    </xf>
    <xf numFmtId="0" fontId="22" fillId="0" borderId="76" xfId="0" applyFont="1" applyFill="1" applyBorder="1" applyAlignment="1">
      <alignment horizontal="center"/>
    </xf>
    <xf numFmtId="0" fontId="22" fillId="0" borderId="10" xfId="0" applyFont="1" applyFill="1" applyBorder="1" applyAlignment="1">
      <alignment horizontal="centerContinuous"/>
    </xf>
    <xf numFmtId="0" fontId="22" fillId="0" borderId="10" xfId="0" applyFont="1" applyFill="1" applyBorder="1" applyAlignment="1">
      <alignment horizontal="center"/>
    </xf>
    <xf numFmtId="0" fontId="22" fillId="0" borderId="55" xfId="0" applyFont="1" applyFill="1" applyBorder="1" applyAlignment="1">
      <alignment horizontal="center"/>
    </xf>
    <xf numFmtId="4" fontId="22" fillId="0" borderId="55" xfId="0" applyNumberFormat="1" applyFont="1" applyFill="1" applyBorder="1" applyAlignment="1">
      <alignment horizontal="center"/>
    </xf>
    <xf numFmtId="0" fontId="0" fillId="0" borderId="78" xfId="0" applyFill="1" applyBorder="1" applyAlignment="1">
      <alignment horizontal="center"/>
    </xf>
    <xf numFmtId="3" fontId="0" fillId="0" borderId="78" xfId="0" applyNumberFormat="1" applyFill="1" applyBorder="1" applyAlignment="1">
      <alignment horizontal="center"/>
    </xf>
    <xf numFmtId="0" fontId="0" fillId="0" borderId="78" xfId="0" applyFill="1" applyBorder="1" applyAlignment="1">
      <alignment/>
    </xf>
    <xf numFmtId="4" fontId="0" fillId="0" borderId="78" xfId="0" applyNumberFormat="1" applyFill="1" applyBorder="1" applyAlignment="1">
      <alignment/>
    </xf>
    <xf numFmtId="0" fontId="0" fillId="0" borderId="79" xfId="0" applyFill="1" applyBorder="1" applyAlignment="1">
      <alignment/>
    </xf>
    <xf numFmtId="3" fontId="0" fillId="0" borderId="79" xfId="0" applyNumberFormat="1" applyFill="1" applyBorder="1" applyAlignment="1">
      <alignment horizontal="center"/>
    </xf>
    <xf numFmtId="4" fontId="0" fillId="0" borderId="79" xfId="0" applyNumberFormat="1" applyFill="1" applyBorder="1" applyAlignment="1">
      <alignment/>
    </xf>
    <xf numFmtId="0" fontId="0" fillId="0" borderId="79" xfId="0" applyFill="1" applyBorder="1" applyAlignment="1">
      <alignment horizontal="center"/>
    </xf>
    <xf numFmtId="0" fontId="1" fillId="0" borderId="79" xfId="0" applyFont="1" applyFill="1" applyBorder="1" applyAlignment="1">
      <alignment/>
    </xf>
    <xf numFmtId="4" fontId="1" fillId="0" borderId="79" xfId="0" applyNumberFormat="1" applyFont="1" applyFill="1" applyBorder="1" applyAlignment="1">
      <alignment/>
    </xf>
    <xf numFmtId="0" fontId="0" fillId="0" borderId="80" xfId="0" applyFill="1" applyBorder="1" applyAlignment="1">
      <alignment/>
    </xf>
    <xf numFmtId="4" fontId="0" fillId="0" borderId="80" xfId="0" applyNumberForma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48"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44"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81" xfId="0" applyBorder="1" applyAlignment="1">
      <alignment horizontal="center"/>
    </xf>
    <xf numFmtId="0" fontId="0" fillId="0" borderId="50" xfId="0" applyBorder="1" applyAlignment="1">
      <alignment horizontal="center"/>
    </xf>
    <xf numFmtId="0" fontId="0" fillId="0" borderId="82" xfId="0"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29" xfId="0" applyBorder="1" applyAlignment="1">
      <alignment/>
    </xf>
    <xf numFmtId="0" fontId="0" fillId="0" borderId="52" xfId="0" applyBorder="1" applyAlignment="1">
      <alignment/>
    </xf>
    <xf numFmtId="0" fontId="0" fillId="0" borderId="30" xfId="0" applyBorder="1" applyAlignment="1">
      <alignment/>
    </xf>
    <xf numFmtId="0" fontId="0" fillId="0" borderId="43" xfId="0" applyBorder="1" applyAlignment="1">
      <alignment/>
    </xf>
    <xf numFmtId="0" fontId="0" fillId="0" borderId="52" xfId="0" applyBorder="1" applyAlignment="1">
      <alignment horizontal="center"/>
    </xf>
    <xf numFmtId="205" fontId="0" fillId="0" borderId="30" xfId="0" applyNumberFormat="1" applyBorder="1" applyAlignment="1">
      <alignment/>
    </xf>
    <xf numFmtId="165" fontId="0" fillId="0" borderId="30" xfId="0" applyNumberFormat="1" applyBorder="1" applyAlignment="1">
      <alignment/>
    </xf>
    <xf numFmtId="0" fontId="0" fillId="0" borderId="30" xfId="0" applyBorder="1" applyAlignment="1">
      <alignment horizontal="center"/>
    </xf>
    <xf numFmtId="49" fontId="0" fillId="0" borderId="29" xfId="0" applyNumberFormat="1" applyBorder="1" applyAlignment="1">
      <alignment horizontal="center"/>
    </xf>
    <xf numFmtId="10" fontId="0" fillId="0" borderId="29" xfId="0" applyNumberFormat="1" applyFont="1" applyBorder="1" applyAlignment="1">
      <alignment horizontal="center"/>
    </xf>
    <xf numFmtId="0" fontId="0" fillId="0" borderId="1" xfId="0" applyBorder="1" applyAlignment="1">
      <alignment/>
    </xf>
    <xf numFmtId="165" fontId="0" fillId="0" borderId="1" xfId="0" applyNumberFormat="1"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0" fontId="0" fillId="0" borderId="1" xfId="0" applyNumberFormat="1" applyBorder="1" applyAlignment="1">
      <alignment horizontal="center"/>
    </xf>
    <xf numFmtId="0" fontId="24" fillId="0" borderId="29" xfId="0" applyFont="1" applyBorder="1" applyAlignment="1">
      <alignment/>
    </xf>
    <xf numFmtId="165" fontId="24" fillId="0" borderId="74" xfId="0" applyNumberFormat="1" applyFont="1" applyBorder="1" applyAlignment="1">
      <alignment/>
    </xf>
    <xf numFmtId="0" fontId="0" fillId="0" borderId="74" xfId="0" applyBorder="1" applyAlignment="1">
      <alignment/>
    </xf>
    <xf numFmtId="0" fontId="0" fillId="0" borderId="39" xfId="0" applyBorder="1" applyAlignment="1">
      <alignment/>
    </xf>
    <xf numFmtId="0" fontId="24" fillId="0" borderId="39" xfId="0" applyFont="1" applyBorder="1" applyAlignment="1">
      <alignment/>
    </xf>
    <xf numFmtId="0" fontId="0" fillId="0" borderId="28" xfId="0" applyBorder="1" applyAlignment="1">
      <alignment/>
    </xf>
    <xf numFmtId="0" fontId="0" fillId="0" borderId="15" xfId="0" applyBorder="1" applyAlignment="1">
      <alignment/>
    </xf>
    <xf numFmtId="165" fontId="0" fillId="0" borderId="15" xfId="0" applyNumberFormat="1" applyFont="1" applyBorder="1" applyAlignment="1">
      <alignment/>
    </xf>
    <xf numFmtId="0" fontId="0" fillId="0" borderId="15" xfId="0" applyBorder="1" applyAlignment="1">
      <alignment horizontal="center"/>
    </xf>
    <xf numFmtId="14" fontId="0" fillId="0" borderId="28" xfId="0" applyNumberFormat="1" applyBorder="1" applyAlignment="1">
      <alignment horizontal="center"/>
    </xf>
    <xf numFmtId="10" fontId="0" fillId="0" borderId="28" xfId="0" applyNumberFormat="1" applyFont="1" applyBorder="1" applyAlignment="1">
      <alignment horizontal="center"/>
    </xf>
    <xf numFmtId="14" fontId="0" fillId="0" borderId="1" xfId="0" applyNumberFormat="1" applyBorder="1" applyAlignment="1">
      <alignment horizontal="center"/>
    </xf>
    <xf numFmtId="165" fontId="0" fillId="0" borderId="28" xfId="0" applyNumberFormat="1" applyBorder="1" applyAlignment="1">
      <alignment/>
    </xf>
    <xf numFmtId="165" fontId="0" fillId="0" borderId="39" xfId="0" applyNumberFormat="1" applyBorder="1" applyAlignment="1">
      <alignment/>
    </xf>
    <xf numFmtId="0" fontId="0" fillId="0" borderId="35" xfId="0" applyBorder="1" applyAlignment="1">
      <alignment/>
    </xf>
    <xf numFmtId="0" fontId="1" fillId="0" borderId="20" xfId="0" applyFont="1" applyBorder="1" applyAlignment="1">
      <alignment/>
    </xf>
    <xf numFmtId="0" fontId="0" fillId="0" borderId="13" xfId="0" applyBorder="1" applyAlignment="1">
      <alignment/>
    </xf>
    <xf numFmtId="165" fontId="0" fillId="0" borderId="13" xfId="0" applyNumberFormat="1" applyBorder="1" applyAlignment="1">
      <alignment/>
    </xf>
    <xf numFmtId="0" fontId="0" fillId="0" borderId="22" xfId="0" applyBorder="1" applyAlignment="1">
      <alignment/>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Border="1" applyAlignment="1">
      <alignment horizontal="right"/>
    </xf>
    <xf numFmtId="165" fontId="0" fillId="0" borderId="0" xfId="0" applyNumberFormat="1" applyBorder="1" applyAlignment="1">
      <alignment/>
    </xf>
    <xf numFmtId="49" fontId="0" fillId="0" borderId="0" xfId="0" applyNumberFormat="1" applyBorder="1" applyAlignment="1">
      <alignment horizontal="center"/>
    </xf>
    <xf numFmtId="10" fontId="0" fillId="0" borderId="0" xfId="0" applyNumberFormat="1" applyBorder="1" applyAlignment="1">
      <alignment horizontal="center"/>
    </xf>
    <xf numFmtId="14" fontId="0" fillId="0" borderId="0" xfId="0" applyNumberForma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32" xfId="0" applyBorder="1" applyAlignment="1">
      <alignment/>
    </xf>
    <xf numFmtId="0" fontId="0" fillId="0" borderId="4" xfId="0" applyBorder="1" applyAlignment="1">
      <alignment/>
    </xf>
    <xf numFmtId="4" fontId="0" fillId="0" borderId="0" xfId="0" applyNumberFormat="1" applyBorder="1" applyAlignment="1">
      <alignment horizontal="right"/>
    </xf>
    <xf numFmtId="4" fontId="0" fillId="0" borderId="52" xfId="0" applyNumberFormat="1" applyBorder="1" applyAlignment="1">
      <alignment horizontal="right"/>
    </xf>
    <xf numFmtId="0" fontId="1" fillId="0" borderId="30" xfId="0" applyFont="1" applyBorder="1" applyAlignment="1">
      <alignment/>
    </xf>
    <xf numFmtId="4" fontId="1" fillId="0" borderId="0" xfId="0" applyNumberFormat="1" applyFont="1" applyBorder="1" applyAlignment="1">
      <alignment horizontal="right"/>
    </xf>
    <xf numFmtId="4" fontId="1" fillId="0" borderId="52" xfId="0" applyNumberFormat="1" applyFont="1" applyBorder="1" applyAlignment="1">
      <alignment horizontal="right"/>
    </xf>
    <xf numFmtId="0" fontId="1" fillId="2" borderId="30" xfId="0" applyFont="1" applyFill="1" applyBorder="1" applyAlignment="1">
      <alignment/>
    </xf>
    <xf numFmtId="0" fontId="1" fillId="0" borderId="7" xfId="0" applyFont="1" applyBorder="1" applyAlignment="1">
      <alignment/>
    </xf>
    <xf numFmtId="0" fontId="0" fillId="0" borderId="53" xfId="0" applyBorder="1" applyAlignment="1">
      <alignment horizontal="center"/>
    </xf>
    <xf numFmtId="4" fontId="1" fillId="0" borderId="53" xfId="0" applyNumberFormat="1" applyFont="1" applyBorder="1" applyAlignment="1">
      <alignment horizontal="right"/>
    </xf>
    <xf numFmtId="4" fontId="1" fillId="0" borderId="57" xfId="0" applyNumberFormat="1" applyFont="1" applyBorder="1" applyAlignment="1">
      <alignment horizontal="right"/>
    </xf>
    <xf numFmtId="0" fontId="0" fillId="0" borderId="30" xfId="0" applyFont="1" applyBorder="1" applyAlignment="1">
      <alignment/>
    </xf>
    <xf numFmtId="0" fontId="0" fillId="0" borderId="16" xfId="0" applyBorder="1" applyAlignment="1">
      <alignment/>
    </xf>
    <xf numFmtId="0" fontId="0" fillId="0" borderId="54" xfId="0" applyBorder="1" applyAlignment="1">
      <alignment horizontal="center"/>
    </xf>
    <xf numFmtId="4" fontId="0" fillId="0" borderId="54" xfId="0" applyNumberFormat="1" applyBorder="1" applyAlignment="1">
      <alignment horizontal="right"/>
    </xf>
    <xf numFmtId="4" fontId="0" fillId="0" borderId="15" xfId="0" applyNumberFormat="1" applyBorder="1" applyAlignment="1">
      <alignment horizontal="right"/>
    </xf>
    <xf numFmtId="0" fontId="0" fillId="0" borderId="0" xfId="0" applyFont="1" applyAlignment="1">
      <alignment/>
    </xf>
    <xf numFmtId="0" fontId="24" fillId="0" borderId="0" xfId="0" applyFont="1" applyFill="1" applyAlignment="1">
      <alignment/>
    </xf>
    <xf numFmtId="0" fontId="1" fillId="0" borderId="0" xfId="0" applyFont="1" applyAlignment="1">
      <alignment horizontal="right"/>
    </xf>
    <xf numFmtId="0" fontId="41" fillId="0" borderId="0" xfId="0" applyFont="1" applyAlignment="1">
      <alignment/>
    </xf>
    <xf numFmtId="0" fontId="1"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6" fillId="0" borderId="8" xfId="0" applyFont="1" applyBorder="1" applyAlignment="1">
      <alignment horizontal="center" vertical="top" wrapText="1"/>
    </xf>
    <xf numFmtId="0" fontId="7" fillId="0" borderId="39" xfId="0" applyFont="1" applyFill="1" applyBorder="1" applyAlignment="1">
      <alignment vertical="center" wrapText="1"/>
    </xf>
    <xf numFmtId="0" fontId="7" fillId="0" borderId="43" xfId="0" applyFont="1" applyFill="1" applyBorder="1" applyAlignment="1">
      <alignment vertical="center" wrapText="1"/>
    </xf>
    <xf numFmtId="0" fontId="8" fillId="0" borderId="29" xfId="0" applyFont="1" applyBorder="1" applyAlignment="1">
      <alignment vertical="center" wrapText="1"/>
    </xf>
    <xf numFmtId="0" fontId="6" fillId="0" borderId="57" xfId="0" applyFont="1" applyBorder="1" applyAlignment="1">
      <alignment horizontal="center" vertical="top" wrapText="1"/>
    </xf>
    <xf numFmtId="0" fontId="0" fillId="0" borderId="8" xfId="0" applyFont="1" applyBorder="1" applyAlignment="1">
      <alignment horizontal="center" vertical="top"/>
    </xf>
    <xf numFmtId="0" fontId="0" fillId="0" borderId="8" xfId="0" applyFont="1" applyBorder="1" applyAlignment="1">
      <alignment horizontal="center" vertical="top" wrapText="1"/>
    </xf>
    <xf numFmtId="0" fontId="0" fillId="0" borderId="0" xfId="0" applyFont="1" applyAlignment="1">
      <alignment horizontal="left" vertical="top"/>
    </xf>
    <xf numFmtId="0" fontId="0" fillId="0" borderId="0" xfId="0" applyFont="1" applyAlignment="1">
      <alignment vertical="top"/>
    </xf>
    <xf numFmtId="0" fontId="0" fillId="0" borderId="8" xfId="0" applyFont="1" applyBorder="1" applyAlignment="1">
      <alignment horizontal="center"/>
    </xf>
    <xf numFmtId="0" fontId="0" fillId="0" borderId="57" xfId="0" applyFont="1" applyBorder="1" applyAlignment="1">
      <alignment horizontal="center"/>
    </xf>
    <xf numFmtId="0" fontId="37" fillId="0" borderId="8" xfId="0" applyFont="1" applyBorder="1" applyAlignment="1">
      <alignment horizontal="center"/>
    </xf>
    <xf numFmtId="0" fontId="43" fillId="0" borderId="8" xfId="0" applyFont="1" applyBorder="1" applyAlignment="1">
      <alignment horizontal="center"/>
    </xf>
    <xf numFmtId="0" fontId="37" fillId="0" borderId="57" xfId="0" applyFont="1" applyBorder="1" applyAlignment="1">
      <alignment horizontal="center"/>
    </xf>
    <xf numFmtId="0" fontId="0" fillId="0" borderId="8" xfId="0" applyFont="1" applyFill="1" applyBorder="1" applyAlignment="1">
      <alignment/>
    </xf>
    <xf numFmtId="4" fontId="0" fillId="0" borderId="8" xfId="0" applyNumberFormat="1" applyFont="1" applyBorder="1" applyAlignment="1">
      <alignment/>
    </xf>
    <xf numFmtId="0" fontId="43" fillId="0" borderId="10" xfId="0" applyFont="1" applyBorder="1" applyAlignment="1">
      <alignment horizontal="center"/>
    </xf>
    <xf numFmtId="0" fontId="37" fillId="0" borderId="5" xfId="0" applyFont="1" applyBorder="1" applyAlignment="1">
      <alignment horizontal="center"/>
    </xf>
    <xf numFmtId="0" fontId="0" fillId="0" borderId="10" xfId="0" applyFont="1" applyFill="1" applyBorder="1" applyAlignment="1">
      <alignment/>
    </xf>
    <xf numFmtId="4" fontId="0" fillId="0" borderId="10" xfId="0" applyNumberFormat="1" applyFont="1" applyBorder="1" applyAlignment="1">
      <alignment/>
    </xf>
    <xf numFmtId="4" fontId="0" fillId="0" borderId="76" xfId="0" applyNumberFormat="1" applyFont="1" applyBorder="1" applyAlignment="1">
      <alignment/>
    </xf>
    <xf numFmtId="0" fontId="0" fillId="0" borderId="10" xfId="0" applyFont="1" applyFill="1" applyBorder="1" applyAlignment="1">
      <alignment vertical="top" wrapText="1"/>
    </xf>
    <xf numFmtId="0" fontId="0" fillId="0" borderId="10" xfId="0" applyFont="1" applyFill="1" applyBorder="1" applyAlignment="1">
      <alignment wrapText="1"/>
    </xf>
    <xf numFmtId="0" fontId="0" fillId="0" borderId="55" xfId="0" applyFont="1" applyFill="1" applyBorder="1" applyAlignment="1">
      <alignment/>
    </xf>
    <xf numFmtId="4" fontId="0" fillId="0" borderId="55" xfId="0" applyNumberFormat="1" applyFont="1" applyBorder="1" applyAlignment="1">
      <alignment/>
    </xf>
    <xf numFmtId="0" fontId="0" fillId="0" borderId="8" xfId="0" applyFont="1" applyFill="1" applyBorder="1" applyAlignment="1">
      <alignment wrapText="1"/>
    </xf>
    <xf numFmtId="0" fontId="24" fillId="0" borderId="10" xfId="0" applyFont="1" applyBorder="1" applyAlignment="1">
      <alignment horizontal="center"/>
    </xf>
    <xf numFmtId="0" fontId="0" fillId="0" borderId="5" xfId="0" applyFont="1" applyBorder="1" applyAlignment="1">
      <alignment horizontal="center"/>
    </xf>
    <xf numFmtId="0" fontId="0" fillId="0" borderId="8" xfId="0" applyFont="1" applyFill="1" applyBorder="1" applyAlignment="1">
      <alignment vertical="top" wrapText="1"/>
    </xf>
    <xf numFmtId="0" fontId="0" fillId="0" borderId="8" xfId="0" applyFont="1" applyBorder="1" applyAlignment="1">
      <alignment/>
    </xf>
    <xf numFmtId="0" fontId="0" fillId="0" borderId="55" xfId="0" applyFont="1" applyFill="1" applyBorder="1" applyAlignment="1">
      <alignment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vertical="center" wrapText="1"/>
    </xf>
    <xf numFmtId="0" fontId="44" fillId="0" borderId="0" xfId="0" applyFont="1" applyFill="1" applyAlignment="1">
      <alignment/>
    </xf>
    <xf numFmtId="0" fontId="37" fillId="0" borderId="0" xfId="0" applyFont="1" applyAlignment="1">
      <alignment/>
    </xf>
    <xf numFmtId="14" fontId="0" fillId="0" borderId="0" xfId="0" applyNumberFormat="1" applyFont="1" applyAlignment="1">
      <alignment horizontal="left"/>
    </xf>
    <xf numFmtId="0" fontId="0" fillId="0" borderId="8" xfId="0" applyFont="1" applyBorder="1" applyAlignment="1">
      <alignment horizontal="center" vertical="center" wrapText="1"/>
    </xf>
    <xf numFmtId="0" fontId="24" fillId="0" borderId="8" xfId="0" applyFont="1" applyBorder="1" applyAlignment="1">
      <alignment horizontal="center"/>
    </xf>
    <xf numFmtId="0" fontId="0" fillId="0" borderId="8" xfId="0" applyFont="1" applyBorder="1" applyAlignment="1">
      <alignment horizontal="left" vertical="center" wrapText="1"/>
    </xf>
    <xf numFmtId="4" fontId="0" fillId="0" borderId="10" xfId="0" applyNumberFormat="1" applyFont="1" applyBorder="1" applyAlignment="1">
      <alignment horizontal="center"/>
    </xf>
    <xf numFmtId="0" fontId="0" fillId="0" borderId="0" xfId="0" applyFont="1" applyAlignment="1">
      <alignment/>
    </xf>
    <xf numFmtId="0" fontId="3" fillId="0" borderId="0" xfId="0" applyFont="1" applyAlignment="1">
      <alignment/>
    </xf>
    <xf numFmtId="0" fontId="6" fillId="0" borderId="0" xfId="0" applyFont="1" applyFill="1" applyAlignment="1">
      <alignment/>
    </xf>
    <xf numFmtId="0" fontId="0" fillId="0" borderId="8" xfId="0" applyFont="1" applyBorder="1" applyAlignment="1">
      <alignment horizontal="center" vertical="top" wrapText="1"/>
    </xf>
    <xf numFmtId="0" fontId="0" fillId="0" borderId="8" xfId="0" applyFont="1" applyBorder="1" applyAlignment="1">
      <alignment/>
    </xf>
    <xf numFmtId="4" fontId="0" fillId="0" borderId="8" xfId="0" applyNumberFormat="1" applyFont="1" applyFill="1" applyBorder="1" applyAlignment="1">
      <alignment/>
    </xf>
    <xf numFmtId="0" fontId="0" fillId="0" borderId="10" xfId="0" applyFont="1" applyBorder="1" applyAlignment="1">
      <alignment/>
    </xf>
    <xf numFmtId="0" fontId="37" fillId="0" borderId="10" xfId="0" applyFont="1" applyBorder="1" applyAlignment="1">
      <alignment horizontal="center"/>
    </xf>
    <xf numFmtId="0" fontId="0" fillId="0" borderId="10" xfId="0" applyFont="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0" fontId="0" fillId="0" borderId="10" xfId="0" applyFont="1" applyFill="1" applyBorder="1" applyAlignment="1">
      <alignment wrapText="1"/>
    </xf>
    <xf numFmtId="4" fontId="0" fillId="0" borderId="10" xfId="0" applyNumberFormat="1" applyFont="1" applyFill="1" applyBorder="1" applyAlignment="1">
      <alignment wrapText="1"/>
    </xf>
    <xf numFmtId="0" fontId="0" fillId="0" borderId="55" xfId="0" applyFont="1" applyBorder="1" applyAlignment="1">
      <alignment/>
    </xf>
    <xf numFmtId="0" fontId="37" fillId="0" borderId="55" xfId="0" applyFont="1" applyBorder="1" applyAlignment="1">
      <alignment horizontal="center"/>
    </xf>
    <xf numFmtId="4" fontId="0" fillId="0" borderId="55" xfId="0" applyNumberFormat="1" applyFont="1" applyFill="1" applyBorder="1" applyAlignment="1">
      <alignment wrapText="1"/>
    </xf>
    <xf numFmtId="4" fontId="0" fillId="0" borderId="55" xfId="0" applyNumberFormat="1" applyFont="1" applyBorder="1" applyAlignment="1">
      <alignment/>
    </xf>
    <xf numFmtId="0" fontId="0" fillId="0" borderId="3" xfId="0" applyFont="1" applyBorder="1" applyAlignment="1">
      <alignment/>
    </xf>
    <xf numFmtId="0" fontId="0" fillId="0" borderId="8" xfId="0" applyFont="1" applyBorder="1" applyAlignment="1">
      <alignment vertical="top" wrapText="1"/>
    </xf>
    <xf numFmtId="0" fontId="37" fillId="0" borderId="10" xfId="0" applyFont="1" applyBorder="1" applyAlignment="1">
      <alignment horizontal="center" vertical="top"/>
    </xf>
    <xf numFmtId="0" fontId="0" fillId="0" borderId="10" xfId="0" applyFont="1" applyBorder="1" applyAlignment="1">
      <alignment horizontal="center"/>
    </xf>
    <xf numFmtId="0" fontId="0" fillId="0" borderId="55" xfId="0" applyFont="1" applyFill="1" applyBorder="1" applyAlignment="1">
      <alignment wrapText="1"/>
    </xf>
    <xf numFmtId="0" fontId="0" fillId="0" borderId="55" xfId="0" applyFont="1" applyBorder="1" applyAlignment="1">
      <alignment wrapText="1"/>
    </xf>
    <xf numFmtId="4" fontId="0" fillId="0" borderId="55" xfId="0" applyNumberFormat="1" applyFont="1" applyFill="1" applyBorder="1" applyAlignment="1">
      <alignment vertical="center"/>
    </xf>
    <xf numFmtId="0" fontId="37" fillId="0" borderId="0" xfId="0" applyFont="1" applyBorder="1" applyAlignment="1">
      <alignment horizontal="center"/>
    </xf>
    <xf numFmtId="0" fontId="0" fillId="0" borderId="0" xfId="0" applyFont="1" applyBorder="1" applyAlignment="1">
      <alignment/>
    </xf>
    <xf numFmtId="0" fontId="0" fillId="0" borderId="0" xfId="0" applyFont="1" applyFill="1" applyAlignment="1">
      <alignment/>
    </xf>
    <xf numFmtId="0" fontId="40" fillId="0" borderId="0" xfId="0" applyFont="1" applyAlignment="1">
      <alignment/>
    </xf>
    <xf numFmtId="0" fontId="45" fillId="0" borderId="0" xfId="0" applyFont="1" applyAlignment="1">
      <alignment/>
    </xf>
    <xf numFmtId="14" fontId="0" fillId="0" borderId="0" xfId="0" applyNumberFormat="1" applyFont="1" applyAlignment="1">
      <alignment horizontal="left"/>
    </xf>
    <xf numFmtId="0" fontId="46" fillId="0" borderId="0" xfId="0" applyFont="1"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4" fontId="0" fillId="0" borderId="10" xfId="0" applyNumberFormat="1" applyFont="1" applyBorder="1" applyAlignment="1">
      <alignment vertical="top"/>
    </xf>
    <xf numFmtId="0" fontId="0" fillId="0" borderId="55" xfId="0" applyFont="1" applyBorder="1" applyAlignment="1">
      <alignment horizontal="center"/>
    </xf>
    <xf numFmtId="0" fontId="0" fillId="0" borderId="3" xfId="0" applyFont="1" applyBorder="1" applyAlignment="1">
      <alignment/>
    </xf>
    <xf numFmtId="0" fontId="44" fillId="0" borderId="0" xfId="0" applyFont="1" applyAlignment="1">
      <alignment/>
    </xf>
    <xf numFmtId="4" fontId="6" fillId="0" borderId="10" xfId="0" applyNumberFormat="1" applyFont="1" applyBorder="1" applyAlignment="1">
      <alignment horizontal="center"/>
    </xf>
    <xf numFmtId="4" fontId="6" fillId="0" borderId="8" xfId="0" applyNumberFormat="1" applyFont="1" applyBorder="1" applyAlignment="1">
      <alignment horizontal="center"/>
    </xf>
    <xf numFmtId="43" fontId="0" fillId="0" borderId="0" xfId="15" applyFont="1" applyAlignment="1">
      <alignment/>
    </xf>
    <xf numFmtId="0" fontId="47" fillId="0" borderId="0" xfId="0" applyFont="1" applyAlignment="1">
      <alignment/>
    </xf>
    <xf numFmtId="0" fontId="48" fillId="0" borderId="0" xfId="0" applyFont="1" applyAlignment="1">
      <alignment/>
    </xf>
    <xf numFmtId="0" fontId="7"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7" fillId="0" borderId="0" xfId="0" applyFont="1" applyFill="1" applyAlignment="1">
      <alignment vertical="center" wrapText="1"/>
    </xf>
    <xf numFmtId="0" fontId="0" fillId="0" borderId="0" xfId="0" applyAlignment="1">
      <alignment vertical="center" wrapText="1"/>
    </xf>
    <xf numFmtId="0" fontId="9" fillId="0" borderId="5" xfId="0" applyFont="1" applyFill="1" applyBorder="1" applyAlignment="1">
      <alignment vertical="center" wrapText="1"/>
    </xf>
    <xf numFmtId="0" fontId="0" fillId="0" borderId="5" xfId="0" applyBorder="1" applyAlignment="1">
      <alignment vertical="center" wrapText="1"/>
    </xf>
    <xf numFmtId="0" fontId="7" fillId="0" borderId="5" xfId="0" applyFont="1" applyFill="1" applyBorder="1" applyAlignment="1">
      <alignment vertical="center" wrapText="1"/>
    </xf>
    <xf numFmtId="0" fontId="0" fillId="0" borderId="5" xfId="0" applyFont="1" applyBorder="1" applyAlignment="1">
      <alignment vertical="center" wrapText="1"/>
    </xf>
    <xf numFmtId="0" fontId="13" fillId="6" borderId="17" xfId="0" applyFont="1" applyFill="1" applyBorder="1" applyAlignment="1">
      <alignment vertical="center" wrapText="1"/>
    </xf>
    <xf numFmtId="0" fontId="13" fillId="6" borderId="1"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11" xfId="0" applyFont="1" applyFill="1" applyBorder="1" applyAlignment="1">
      <alignment vertical="center" wrapText="1"/>
    </xf>
    <xf numFmtId="0" fontId="7" fillId="0" borderId="40" xfId="0" applyFont="1" applyFill="1" applyBorder="1" applyAlignment="1">
      <alignment vertical="center" wrapText="1"/>
    </xf>
    <xf numFmtId="4" fontId="7" fillId="0" borderId="39" xfId="0" applyNumberFormat="1" applyFont="1" applyFill="1" applyBorder="1" applyAlignment="1">
      <alignment vertical="center"/>
    </xf>
    <xf numFmtId="0" fontId="0" fillId="0" borderId="29" xfId="0" applyBorder="1" applyAlignment="1">
      <alignment vertical="center"/>
    </xf>
    <xf numFmtId="0" fontId="0" fillId="0" borderId="28" xfId="0" applyBorder="1" applyAlignment="1">
      <alignment vertical="center"/>
    </xf>
    <xf numFmtId="4" fontId="7" fillId="0" borderId="29" xfId="0" applyNumberFormat="1" applyFont="1" applyFill="1" applyBorder="1" applyAlignment="1">
      <alignment vertical="center"/>
    </xf>
    <xf numFmtId="4" fontId="7" fillId="0" borderId="28" xfId="0" applyNumberFormat="1" applyFont="1" applyFill="1" applyBorder="1" applyAlignment="1">
      <alignment vertical="center"/>
    </xf>
    <xf numFmtId="0" fontId="8" fillId="0" borderId="0" xfId="0" applyFont="1" applyBorder="1" applyAlignment="1">
      <alignment horizontal="justify" vertical="center" wrapText="1"/>
    </xf>
    <xf numFmtId="0" fontId="8" fillId="0" borderId="0" xfId="0" applyFont="1" applyBorder="1" applyAlignment="1">
      <alignment wrapText="1"/>
    </xf>
    <xf numFmtId="49" fontId="35" fillId="0" borderId="10" xfId="0" applyNumberFormat="1" applyFont="1" applyBorder="1" applyAlignment="1">
      <alignment horizontal="left" vertical="center" wrapText="1"/>
    </xf>
    <xf numFmtId="3" fontId="7" fillId="0" borderId="10" xfId="0" applyNumberFormat="1" applyFont="1" applyBorder="1" applyAlignment="1">
      <alignment vertical="center" wrapText="1"/>
    </xf>
    <xf numFmtId="3" fontId="9" fillId="0" borderId="10" xfId="0" applyNumberFormat="1" applyFont="1" applyBorder="1" applyAlignment="1">
      <alignment vertical="center" wrapText="1"/>
    </xf>
    <xf numFmtId="3" fontId="7" fillId="0" borderId="76" xfId="0" applyNumberFormat="1" applyFont="1" applyBorder="1" applyAlignment="1">
      <alignment vertical="center" wrapText="1"/>
    </xf>
    <xf numFmtId="3" fontId="0"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22" fillId="0" borderId="76" xfId="0" applyFont="1" applyFill="1" applyBorder="1" applyAlignment="1">
      <alignment horizontal="center" vertical="center" wrapText="1"/>
    </xf>
    <xf numFmtId="0" fontId="0" fillId="0" borderId="10" xfId="0" applyBorder="1" applyAlignment="1">
      <alignment vertical="center" wrapText="1"/>
    </xf>
    <xf numFmtId="0" fontId="0" fillId="0" borderId="55" xfId="0" applyBorder="1" applyAlignment="1">
      <alignment vertical="center" wrapText="1"/>
    </xf>
    <xf numFmtId="0" fontId="0" fillId="0" borderId="10" xfId="0" applyBorder="1" applyAlignment="1">
      <alignment horizontal="center" vertical="center" wrapText="1"/>
    </xf>
    <xf numFmtId="0" fontId="0" fillId="0" borderId="55" xfId="0"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Border="1" applyAlignment="1">
      <alignment horizontal="left"/>
    </xf>
    <xf numFmtId="0" fontId="0" fillId="0" borderId="0" xfId="0" applyAlignment="1">
      <alignment/>
    </xf>
    <xf numFmtId="0" fontId="0" fillId="0" borderId="52" xfId="0" applyBorder="1" applyAlignment="1">
      <alignment/>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0" fontId="1" fillId="2" borderId="12" xfId="0" applyFont="1" applyFill="1" applyBorder="1" applyAlignment="1">
      <alignment horizontal="center" vertical="center"/>
    </xf>
    <xf numFmtId="0" fontId="0" fillId="2" borderId="82" xfId="0" applyFill="1" applyBorder="1" applyAlignment="1">
      <alignment horizontal="center" vertical="center"/>
    </xf>
    <xf numFmtId="0" fontId="1" fillId="2" borderId="7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76"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top"/>
    </xf>
    <xf numFmtId="0" fontId="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xf>
    <xf numFmtId="0" fontId="37" fillId="0" borderId="0" xfId="0"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87</xdr:row>
      <xdr:rowOff>247650</xdr:rowOff>
    </xdr:from>
    <xdr:to>
      <xdr:col>6</xdr:col>
      <xdr:colOff>0</xdr:colOff>
      <xdr:row>87</xdr:row>
      <xdr:rowOff>247650</xdr:rowOff>
    </xdr:to>
    <xdr:sp>
      <xdr:nvSpPr>
        <xdr:cNvPr id="1" name="Line 1"/>
        <xdr:cNvSpPr>
          <a:spLocks/>
        </xdr:cNvSpPr>
      </xdr:nvSpPr>
      <xdr:spPr>
        <a:xfrm>
          <a:off x="8172450" y="2218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93</xdr:row>
      <xdr:rowOff>247650</xdr:rowOff>
    </xdr:from>
    <xdr:to>
      <xdr:col>6</xdr:col>
      <xdr:colOff>0</xdr:colOff>
      <xdr:row>93</xdr:row>
      <xdr:rowOff>247650</xdr:rowOff>
    </xdr:to>
    <xdr:sp>
      <xdr:nvSpPr>
        <xdr:cNvPr id="2" name="Line 2"/>
        <xdr:cNvSpPr>
          <a:spLocks/>
        </xdr:cNvSpPr>
      </xdr:nvSpPr>
      <xdr:spPr>
        <a:xfrm>
          <a:off x="8172450" y="2366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15</xdr:row>
      <xdr:rowOff>247650</xdr:rowOff>
    </xdr:from>
    <xdr:to>
      <xdr:col>6</xdr:col>
      <xdr:colOff>0</xdr:colOff>
      <xdr:row>15</xdr:row>
      <xdr:rowOff>247650</xdr:rowOff>
    </xdr:to>
    <xdr:sp>
      <xdr:nvSpPr>
        <xdr:cNvPr id="3" name="Line 3"/>
        <xdr:cNvSpPr>
          <a:spLocks/>
        </xdr:cNvSpPr>
      </xdr:nvSpPr>
      <xdr:spPr>
        <a:xfrm>
          <a:off x="8172450" y="434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56</xdr:row>
      <xdr:rowOff>0</xdr:rowOff>
    </xdr:from>
    <xdr:to>
      <xdr:col>6</xdr:col>
      <xdr:colOff>0</xdr:colOff>
      <xdr:row>56</xdr:row>
      <xdr:rowOff>0</xdr:rowOff>
    </xdr:to>
    <xdr:sp>
      <xdr:nvSpPr>
        <xdr:cNvPr id="4" name="Line 4"/>
        <xdr:cNvSpPr>
          <a:spLocks/>
        </xdr:cNvSpPr>
      </xdr:nvSpPr>
      <xdr:spPr>
        <a:xfrm>
          <a:off x="8172450" y="1424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198</xdr:row>
      <xdr:rowOff>0</xdr:rowOff>
    </xdr:from>
    <xdr:to>
      <xdr:col>6</xdr:col>
      <xdr:colOff>0</xdr:colOff>
      <xdr:row>198</xdr:row>
      <xdr:rowOff>0</xdr:rowOff>
    </xdr:to>
    <xdr:sp>
      <xdr:nvSpPr>
        <xdr:cNvPr id="5" name="Line 5"/>
        <xdr:cNvSpPr>
          <a:spLocks/>
        </xdr:cNvSpPr>
      </xdr:nvSpPr>
      <xdr:spPr>
        <a:xfrm>
          <a:off x="8172450" y="494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87</xdr:row>
      <xdr:rowOff>247650</xdr:rowOff>
    </xdr:from>
    <xdr:to>
      <xdr:col>6</xdr:col>
      <xdr:colOff>0</xdr:colOff>
      <xdr:row>87</xdr:row>
      <xdr:rowOff>247650</xdr:rowOff>
    </xdr:to>
    <xdr:sp>
      <xdr:nvSpPr>
        <xdr:cNvPr id="6" name="Line 6"/>
        <xdr:cNvSpPr>
          <a:spLocks/>
        </xdr:cNvSpPr>
      </xdr:nvSpPr>
      <xdr:spPr>
        <a:xfrm>
          <a:off x="8172450" y="2218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15</xdr:col>
      <xdr:colOff>0</xdr:colOff>
      <xdr:row>23</xdr:row>
      <xdr:rowOff>0</xdr:rowOff>
    </xdr:from>
    <xdr:to>
      <xdr:col>15</xdr:col>
      <xdr:colOff>0</xdr:colOff>
      <xdr:row>23</xdr:row>
      <xdr:rowOff>0</xdr:rowOff>
    </xdr:to>
    <xdr:sp>
      <xdr:nvSpPr>
        <xdr:cNvPr id="7" name="Line 7"/>
        <xdr:cNvSpPr>
          <a:spLocks/>
        </xdr:cNvSpPr>
      </xdr:nvSpPr>
      <xdr:spPr>
        <a:xfrm>
          <a:off x="19354800" y="607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87</xdr:row>
      <xdr:rowOff>247650</xdr:rowOff>
    </xdr:from>
    <xdr:to>
      <xdr:col>6</xdr:col>
      <xdr:colOff>0</xdr:colOff>
      <xdr:row>87</xdr:row>
      <xdr:rowOff>247650</xdr:rowOff>
    </xdr:to>
    <xdr:sp>
      <xdr:nvSpPr>
        <xdr:cNvPr id="8" name="Line 8"/>
        <xdr:cNvSpPr>
          <a:spLocks/>
        </xdr:cNvSpPr>
      </xdr:nvSpPr>
      <xdr:spPr>
        <a:xfrm>
          <a:off x="8172450" y="2218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126</xdr:row>
      <xdr:rowOff>0</xdr:rowOff>
    </xdr:from>
    <xdr:to>
      <xdr:col>6</xdr:col>
      <xdr:colOff>0</xdr:colOff>
      <xdr:row>126</xdr:row>
      <xdr:rowOff>0</xdr:rowOff>
    </xdr:to>
    <xdr:sp>
      <xdr:nvSpPr>
        <xdr:cNvPr id="9" name="Line 9"/>
        <xdr:cNvSpPr>
          <a:spLocks/>
        </xdr:cNvSpPr>
      </xdr:nvSpPr>
      <xdr:spPr>
        <a:xfrm>
          <a:off x="8172450" y="3159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198</xdr:row>
      <xdr:rowOff>0</xdr:rowOff>
    </xdr:from>
    <xdr:to>
      <xdr:col>6</xdr:col>
      <xdr:colOff>0</xdr:colOff>
      <xdr:row>198</xdr:row>
      <xdr:rowOff>0</xdr:rowOff>
    </xdr:to>
    <xdr:sp>
      <xdr:nvSpPr>
        <xdr:cNvPr id="10" name="Line 10"/>
        <xdr:cNvSpPr>
          <a:spLocks/>
        </xdr:cNvSpPr>
      </xdr:nvSpPr>
      <xdr:spPr>
        <a:xfrm>
          <a:off x="8172450" y="494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87</xdr:row>
      <xdr:rowOff>247650</xdr:rowOff>
    </xdr:from>
    <xdr:to>
      <xdr:col>6</xdr:col>
      <xdr:colOff>0</xdr:colOff>
      <xdr:row>87</xdr:row>
      <xdr:rowOff>247650</xdr:rowOff>
    </xdr:to>
    <xdr:sp>
      <xdr:nvSpPr>
        <xdr:cNvPr id="11" name="Line 11"/>
        <xdr:cNvSpPr>
          <a:spLocks/>
        </xdr:cNvSpPr>
      </xdr:nvSpPr>
      <xdr:spPr>
        <a:xfrm>
          <a:off x="8172450" y="2218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15</xdr:row>
      <xdr:rowOff>247650</xdr:rowOff>
    </xdr:from>
    <xdr:to>
      <xdr:col>6</xdr:col>
      <xdr:colOff>0</xdr:colOff>
      <xdr:row>15</xdr:row>
      <xdr:rowOff>247650</xdr:rowOff>
    </xdr:to>
    <xdr:sp>
      <xdr:nvSpPr>
        <xdr:cNvPr id="12" name="Line 12"/>
        <xdr:cNvSpPr>
          <a:spLocks/>
        </xdr:cNvSpPr>
      </xdr:nvSpPr>
      <xdr:spPr>
        <a:xfrm>
          <a:off x="8172450" y="434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56</xdr:row>
      <xdr:rowOff>0</xdr:rowOff>
    </xdr:from>
    <xdr:to>
      <xdr:col>6</xdr:col>
      <xdr:colOff>0</xdr:colOff>
      <xdr:row>56</xdr:row>
      <xdr:rowOff>0</xdr:rowOff>
    </xdr:to>
    <xdr:sp>
      <xdr:nvSpPr>
        <xdr:cNvPr id="13" name="Line 13"/>
        <xdr:cNvSpPr>
          <a:spLocks/>
        </xdr:cNvSpPr>
      </xdr:nvSpPr>
      <xdr:spPr>
        <a:xfrm>
          <a:off x="8172450" y="1424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198</xdr:row>
      <xdr:rowOff>0</xdr:rowOff>
    </xdr:from>
    <xdr:to>
      <xdr:col>6</xdr:col>
      <xdr:colOff>0</xdr:colOff>
      <xdr:row>198</xdr:row>
      <xdr:rowOff>0</xdr:rowOff>
    </xdr:to>
    <xdr:sp>
      <xdr:nvSpPr>
        <xdr:cNvPr id="14" name="Line 14"/>
        <xdr:cNvSpPr>
          <a:spLocks/>
        </xdr:cNvSpPr>
      </xdr:nvSpPr>
      <xdr:spPr>
        <a:xfrm>
          <a:off x="8172450" y="494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87</xdr:row>
      <xdr:rowOff>247650</xdr:rowOff>
    </xdr:from>
    <xdr:to>
      <xdr:col>6</xdr:col>
      <xdr:colOff>0</xdr:colOff>
      <xdr:row>87</xdr:row>
      <xdr:rowOff>247650</xdr:rowOff>
    </xdr:to>
    <xdr:sp>
      <xdr:nvSpPr>
        <xdr:cNvPr id="15" name="Line 15"/>
        <xdr:cNvSpPr>
          <a:spLocks/>
        </xdr:cNvSpPr>
      </xdr:nvSpPr>
      <xdr:spPr>
        <a:xfrm>
          <a:off x="8172450" y="2218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87</xdr:row>
      <xdr:rowOff>247650</xdr:rowOff>
    </xdr:from>
    <xdr:to>
      <xdr:col>5</xdr:col>
      <xdr:colOff>390525</xdr:colOff>
      <xdr:row>87</xdr:row>
      <xdr:rowOff>247650</xdr:rowOff>
    </xdr:to>
    <xdr:sp>
      <xdr:nvSpPr>
        <xdr:cNvPr id="16" name="Line 16"/>
        <xdr:cNvSpPr>
          <a:spLocks/>
        </xdr:cNvSpPr>
      </xdr:nvSpPr>
      <xdr:spPr>
        <a:xfrm>
          <a:off x="7439025" y="2218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93</xdr:row>
      <xdr:rowOff>247650</xdr:rowOff>
    </xdr:from>
    <xdr:to>
      <xdr:col>5</xdr:col>
      <xdr:colOff>390525</xdr:colOff>
      <xdr:row>93</xdr:row>
      <xdr:rowOff>247650</xdr:rowOff>
    </xdr:to>
    <xdr:sp>
      <xdr:nvSpPr>
        <xdr:cNvPr id="17" name="Line 17"/>
        <xdr:cNvSpPr>
          <a:spLocks/>
        </xdr:cNvSpPr>
      </xdr:nvSpPr>
      <xdr:spPr>
        <a:xfrm>
          <a:off x="7439025" y="236696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15</xdr:row>
      <xdr:rowOff>247650</xdr:rowOff>
    </xdr:from>
    <xdr:to>
      <xdr:col>5</xdr:col>
      <xdr:colOff>390525</xdr:colOff>
      <xdr:row>15</xdr:row>
      <xdr:rowOff>247650</xdr:rowOff>
    </xdr:to>
    <xdr:sp>
      <xdr:nvSpPr>
        <xdr:cNvPr id="18" name="Line 18"/>
        <xdr:cNvSpPr>
          <a:spLocks/>
        </xdr:cNvSpPr>
      </xdr:nvSpPr>
      <xdr:spPr>
        <a:xfrm>
          <a:off x="7439025" y="43434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56</xdr:row>
      <xdr:rowOff>0</xdr:rowOff>
    </xdr:from>
    <xdr:to>
      <xdr:col>5</xdr:col>
      <xdr:colOff>390525</xdr:colOff>
      <xdr:row>56</xdr:row>
      <xdr:rowOff>0</xdr:rowOff>
    </xdr:to>
    <xdr:sp>
      <xdr:nvSpPr>
        <xdr:cNvPr id="19" name="Line 19"/>
        <xdr:cNvSpPr>
          <a:spLocks/>
        </xdr:cNvSpPr>
      </xdr:nvSpPr>
      <xdr:spPr>
        <a:xfrm>
          <a:off x="7439025" y="142494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198</xdr:row>
      <xdr:rowOff>0</xdr:rowOff>
    </xdr:from>
    <xdr:to>
      <xdr:col>5</xdr:col>
      <xdr:colOff>390525</xdr:colOff>
      <xdr:row>198</xdr:row>
      <xdr:rowOff>0</xdr:rowOff>
    </xdr:to>
    <xdr:sp>
      <xdr:nvSpPr>
        <xdr:cNvPr id="20" name="Line 20"/>
        <xdr:cNvSpPr>
          <a:spLocks/>
        </xdr:cNvSpPr>
      </xdr:nvSpPr>
      <xdr:spPr>
        <a:xfrm>
          <a:off x="7439025" y="49425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87</xdr:row>
      <xdr:rowOff>247650</xdr:rowOff>
    </xdr:from>
    <xdr:to>
      <xdr:col>5</xdr:col>
      <xdr:colOff>390525</xdr:colOff>
      <xdr:row>87</xdr:row>
      <xdr:rowOff>247650</xdr:rowOff>
    </xdr:to>
    <xdr:sp>
      <xdr:nvSpPr>
        <xdr:cNvPr id="21" name="Line 21"/>
        <xdr:cNvSpPr>
          <a:spLocks/>
        </xdr:cNvSpPr>
      </xdr:nvSpPr>
      <xdr:spPr>
        <a:xfrm>
          <a:off x="7439025" y="2218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87</xdr:row>
      <xdr:rowOff>247650</xdr:rowOff>
    </xdr:from>
    <xdr:to>
      <xdr:col>5</xdr:col>
      <xdr:colOff>390525</xdr:colOff>
      <xdr:row>87</xdr:row>
      <xdr:rowOff>247650</xdr:rowOff>
    </xdr:to>
    <xdr:sp>
      <xdr:nvSpPr>
        <xdr:cNvPr id="22" name="Line 22"/>
        <xdr:cNvSpPr>
          <a:spLocks/>
        </xdr:cNvSpPr>
      </xdr:nvSpPr>
      <xdr:spPr>
        <a:xfrm>
          <a:off x="7439025" y="2218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198</xdr:row>
      <xdr:rowOff>0</xdr:rowOff>
    </xdr:from>
    <xdr:to>
      <xdr:col>5</xdr:col>
      <xdr:colOff>390525</xdr:colOff>
      <xdr:row>198</xdr:row>
      <xdr:rowOff>0</xdr:rowOff>
    </xdr:to>
    <xdr:sp>
      <xdr:nvSpPr>
        <xdr:cNvPr id="23" name="Line 23"/>
        <xdr:cNvSpPr>
          <a:spLocks/>
        </xdr:cNvSpPr>
      </xdr:nvSpPr>
      <xdr:spPr>
        <a:xfrm>
          <a:off x="7439025" y="49425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87</xdr:row>
      <xdr:rowOff>247650</xdr:rowOff>
    </xdr:from>
    <xdr:to>
      <xdr:col>5</xdr:col>
      <xdr:colOff>390525</xdr:colOff>
      <xdr:row>87</xdr:row>
      <xdr:rowOff>247650</xdr:rowOff>
    </xdr:to>
    <xdr:sp>
      <xdr:nvSpPr>
        <xdr:cNvPr id="24" name="Line 24"/>
        <xdr:cNvSpPr>
          <a:spLocks/>
        </xdr:cNvSpPr>
      </xdr:nvSpPr>
      <xdr:spPr>
        <a:xfrm>
          <a:off x="7439025" y="2218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15</xdr:row>
      <xdr:rowOff>247650</xdr:rowOff>
    </xdr:from>
    <xdr:to>
      <xdr:col>5</xdr:col>
      <xdr:colOff>390525</xdr:colOff>
      <xdr:row>15</xdr:row>
      <xdr:rowOff>247650</xdr:rowOff>
    </xdr:to>
    <xdr:sp>
      <xdr:nvSpPr>
        <xdr:cNvPr id="25" name="Line 25"/>
        <xdr:cNvSpPr>
          <a:spLocks/>
        </xdr:cNvSpPr>
      </xdr:nvSpPr>
      <xdr:spPr>
        <a:xfrm>
          <a:off x="7439025" y="43434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56</xdr:row>
      <xdr:rowOff>0</xdr:rowOff>
    </xdr:from>
    <xdr:to>
      <xdr:col>5</xdr:col>
      <xdr:colOff>390525</xdr:colOff>
      <xdr:row>56</xdr:row>
      <xdr:rowOff>0</xdr:rowOff>
    </xdr:to>
    <xdr:sp>
      <xdr:nvSpPr>
        <xdr:cNvPr id="26" name="Line 26"/>
        <xdr:cNvSpPr>
          <a:spLocks/>
        </xdr:cNvSpPr>
      </xdr:nvSpPr>
      <xdr:spPr>
        <a:xfrm>
          <a:off x="7439025" y="142494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198</xdr:row>
      <xdr:rowOff>0</xdr:rowOff>
    </xdr:from>
    <xdr:to>
      <xdr:col>5</xdr:col>
      <xdr:colOff>390525</xdr:colOff>
      <xdr:row>198</xdr:row>
      <xdr:rowOff>0</xdr:rowOff>
    </xdr:to>
    <xdr:sp>
      <xdr:nvSpPr>
        <xdr:cNvPr id="27" name="Line 27"/>
        <xdr:cNvSpPr>
          <a:spLocks/>
        </xdr:cNvSpPr>
      </xdr:nvSpPr>
      <xdr:spPr>
        <a:xfrm>
          <a:off x="7439025" y="49425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238125</xdr:colOff>
      <xdr:row>87</xdr:row>
      <xdr:rowOff>247650</xdr:rowOff>
    </xdr:from>
    <xdr:to>
      <xdr:col>5</xdr:col>
      <xdr:colOff>390525</xdr:colOff>
      <xdr:row>87</xdr:row>
      <xdr:rowOff>247650</xdr:rowOff>
    </xdr:to>
    <xdr:sp>
      <xdr:nvSpPr>
        <xdr:cNvPr id="28" name="Line 28"/>
        <xdr:cNvSpPr>
          <a:spLocks/>
        </xdr:cNvSpPr>
      </xdr:nvSpPr>
      <xdr:spPr>
        <a:xfrm>
          <a:off x="7439025" y="2218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ndi_pc\petra\Petra\Fond%20hospod&#225;&#345;sk&#233;ho%20rozvo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orpe\Dokumenty\2006\V&#253;sledky%20hosp.2006+&#250;spory\V&#253;sledky%20hospoda&#345;en&#237;%202006\V&#253;sledky%20hospoda&#345;en&#237;%20k%2031.12.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korpe\Dokumenty\2006\&#269;erp&#225;n&#237;%202006\06\&#269;erp&#225;n&#237;Petra%20k%2030.6.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orpe\Dokumenty\2006\&#269;erp&#225;n&#237;%202006\07\&#269;erp&#225;n&#237;%20rozpo&#269;tu%20k%2031.7.2006-v&#353;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korpe\LOCALS~1\Temp\13%20obdobi%20-%20H&#269;erp&#225;n&#237;%20k%2031.12.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korpe\LOCALS~1\Temp\Kopie%20-%20&#269;erp&#225;n&#237;%20k%2030.6.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dublu\LOCALS~1\Temp\Fondy%20k%2030.6.20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H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ř.1 PŘÍJMY"/>
      <sheetName val="Př.2 Sumář PO"/>
      <sheetName val="Př.3 Sumář OVS"/>
      <sheetName val="Př.4 Investice"/>
      <sheetName val="Př.5 Financování"/>
      <sheetName val="Př.6 Rekapitulace P+V+F"/>
      <sheetName val="Př.7 FRB klasika"/>
      <sheetName val="Př.7 FRB povodeň"/>
      <sheetName val="Př.7 soc. fond"/>
      <sheetName val="Př.8 fin.vypořádání"/>
      <sheetName val="Př.8-obligace, úvěry, půjčky"/>
      <sheetName val="Př. 8 fin.vypořádání-Ol.kraj"/>
      <sheetName val="Př.8 fin.vypoř. MZE ČR "/>
      <sheetName val="Př.8 fin.vypoř.MV ČR "/>
      <sheetName val="Př.8 fin.vypoř. MK ČR "/>
      <sheetName val="Př. 8 fin.vypoř.MPO ČR "/>
      <sheetName val="Př.8 fin.vypoř. Úřad vlády "/>
      <sheetName val="Př.8 fin.vypoř.MŽP ČR "/>
      <sheetName val="Př.8 fin.vypoř. MMR ČR"/>
      <sheetName val="Př.8 fin.vypoř.SFŽP ČR "/>
      <sheetName val="Př.8 fin.vypoř. SFRB ČR "/>
      <sheetName val="Př.8 fin.vypoř. MV ČR "/>
      <sheetName val="Př.8 fin.vypoř. MMR ČR "/>
      <sheetName val="Př.8 fin.vypoř. MPSV ČR "/>
      <sheetName val="Př.8 fin. vypoř. MK ČR "/>
      <sheetName val="Př.8 fin.vypoř. Národní fond "/>
      <sheetName val="Příloha č.9-1-kancel.prim."/>
      <sheetName val="2-odbor investic"/>
      <sheetName val="3-odb.koncepce a rozvoje"/>
      <sheetName val="4-živnost.odb."/>
      <sheetName val="5-ekonom.odb."/>
      <sheetName val="vrácené DPH"/>
      <sheetName val="6-odb.vn.auditu a kontroly"/>
      <sheetName val="7-odb.dopravy"/>
      <sheetName val="8-odb.agendy řidičů a MV"/>
      <sheetName val="10-stavební odb."/>
      <sheetName val="11-odb.vn.vztahů a inf."/>
      <sheetName val="13-odb.informatiky "/>
      <sheetName val="14-školství"/>
      <sheetName val="15-odb.sociál.pomoci"/>
      <sheetName val="19-odb.správy"/>
      <sheetName val="20-Městská policie"/>
      <sheetName val="35-odb.soc.pom. a zdravot."/>
      <sheetName val="40-odb.život.prostř."/>
      <sheetName val="41-majetkoprávní"/>
      <sheetName val="42-ochrany "/>
      <sheetName val="43-prodej domů"/>
    </sheetNames>
    <sheetDataSet>
      <sheetData sheetId="5">
        <row r="1">
          <cell r="C1" t="str">
            <v>Upravený rozpočet                                        k 11. 12. 2006</v>
          </cell>
          <cell r="D1" t="str">
            <v>Změna</v>
          </cell>
          <cell r="E1" t="str">
            <v>Upravený rozpočet                                        k 27. 12. 2006</v>
          </cell>
          <cell r="F1" t="str">
            <v>Čerpání                                                      k 31. 12. 2006</v>
          </cell>
        </row>
      </sheetData>
      <sheetData sheetId="6">
        <row r="29">
          <cell r="G29">
            <v>19936683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Sumář P+V+F"/>
      <sheetName val="Sumář provoz.výdajů"/>
      <sheetName val="Sumář OVS"/>
      <sheetName val="11-odb.vn.vztahů a inf."/>
      <sheetName val="19-odb.správy"/>
      <sheetName val="40-odb.život.prostř."/>
      <sheetName val="41-majetkoprávní"/>
      <sheetName val="42-ochrany "/>
      <sheetName val="43-prodej domů"/>
    </sheetNames>
    <sheetDataSet>
      <sheetData sheetId="1">
        <row r="1">
          <cell r="G1" t="str">
            <v>% čerpání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ář P+V+F"/>
      <sheetName val="PŘÍJMY"/>
      <sheetName val="Sumář PO"/>
      <sheetName val="Sumář OVS"/>
      <sheetName val="1-kancel.prim."/>
      <sheetName val="02-odb.investic"/>
      <sheetName val="3-odb.koncepce a rozvoje"/>
      <sheetName val="4-živnost.odb."/>
      <sheetName val="5-ekonom.odb."/>
      <sheetName val="vrácené DPH"/>
      <sheetName val="6-odb.vn.auditu a kontroly"/>
      <sheetName val="7-odb.dopravy"/>
      <sheetName val="8-odb.agendy řidičů a MV"/>
      <sheetName val="11-odb.vn.vztahů a inf."/>
      <sheetName val="13-informat"/>
      <sheetName val="14-školství"/>
      <sheetName val="15-soc. zdrav.odb."/>
      <sheetName val="19-odb.správy"/>
      <sheetName val="20-MP"/>
      <sheetName val="35-odb.soc.zdrav."/>
      <sheetName val="40-odb.život.prostř."/>
      <sheetName val="41-majetkoprávní"/>
      <sheetName val="42-ochrany "/>
      <sheetName val="43-prodej domů"/>
      <sheetName val="investice"/>
      <sheetName val="soc. fond"/>
      <sheetName val="FRB klasika"/>
      <sheetName val="FRB povodeň"/>
    </sheetNames>
    <sheetDataSet>
      <sheetData sheetId="0">
        <row r="1">
          <cell r="B1" t="str">
            <v>Schválený rozpočet                              roku 2006</v>
          </cell>
        </row>
      </sheetData>
      <sheetData sheetId="13">
        <row r="341">
          <cell r="C341">
            <v>28321000</v>
          </cell>
        </row>
      </sheetData>
      <sheetData sheetId="17">
        <row r="167">
          <cell r="C167">
            <v>277512000</v>
          </cell>
        </row>
      </sheetData>
      <sheetData sheetId="20">
        <row r="133">
          <cell r="C133">
            <v>169173000</v>
          </cell>
        </row>
      </sheetData>
      <sheetData sheetId="21">
        <row r="63">
          <cell r="C63">
            <v>12896000</v>
          </cell>
        </row>
      </sheetData>
      <sheetData sheetId="22">
        <row r="130">
          <cell r="C130">
            <v>3656000</v>
          </cell>
        </row>
      </sheetData>
      <sheetData sheetId="23">
        <row r="27">
          <cell r="C27">
            <v>22862000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kapitulace"/>
      <sheetName val="Sumář provoz.výdajů"/>
      <sheetName val="Sumář P+V+F"/>
      <sheetName val="Sumář PO"/>
      <sheetName val="Sumář OVS"/>
      <sheetName val="1-kancel.prim."/>
      <sheetName val="3-odb.koncepce a rozvoje"/>
      <sheetName val="4-živnost.odb."/>
      <sheetName val="5-ekonom.odb."/>
      <sheetName val="vrácené DPH"/>
      <sheetName val="6-odb.vn.auditu a kontroly"/>
      <sheetName val="7-odb.dopravy"/>
      <sheetName val="8-odb.agendy řidičů a MV"/>
      <sheetName val="14-školství"/>
    </sheetNames>
    <sheetDataSet>
      <sheetData sheetId="2">
        <row r="1">
          <cell r="C1" t="str">
            <v>Upravený rozpočet                                        k 19.12. 2006</v>
          </cell>
          <cell r="E1" t="str">
            <v>Upravený rozpočet                                        k 27.12. 2006</v>
          </cell>
          <cell r="F1" t="str">
            <v>Čerpání                                                      k 31. 12. 2006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heetName val="Sumář P+V+F"/>
      <sheetName val="Sumář provoz.výdajů"/>
      <sheetName val="Sumář OVS"/>
      <sheetName val="11-odb.vn.vztahů a inf."/>
      <sheetName val="19-odb.správy"/>
      <sheetName val="40-odb.život.prostř."/>
      <sheetName val="41-majetkoprávní"/>
      <sheetName val="42-ochrany "/>
      <sheetName val="43-prodej domů"/>
    </sheetNames>
    <sheetDataSet>
      <sheetData sheetId="3">
        <row r="14">
          <cell r="F14">
            <v>263728000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B klasika"/>
      <sheetName val="FRB povodeň"/>
      <sheetName val="soc. fond"/>
    </sheetNames>
    <sheetDataSet>
      <sheetData sheetId="0">
        <row r="29">
          <cell r="C29">
            <v>24728000</v>
          </cell>
          <cell r="D29">
            <v>73220367.4</v>
          </cell>
          <cell r="E29">
            <v>0</v>
          </cell>
          <cell r="F29">
            <v>42514688.269999996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A7">
      <selection activeCell="B20" sqref="B20"/>
    </sheetView>
  </sheetViews>
  <sheetFormatPr defaultColWidth="9.00390625" defaultRowHeight="12.75"/>
  <cols>
    <col min="1" max="1" width="13.25390625" style="776" customWidth="1"/>
    <col min="2" max="16384" width="9.125" style="776" customWidth="1"/>
  </cols>
  <sheetData>
    <row r="1" spans="1:2" ht="19.5" customHeight="1">
      <c r="A1" s="776" t="s">
        <v>664</v>
      </c>
      <c r="B1" s="777" t="s">
        <v>665</v>
      </c>
    </row>
    <row r="2" ht="19.5" customHeight="1">
      <c r="B2" s="776" t="s">
        <v>666</v>
      </c>
    </row>
    <row r="3" ht="19.5" customHeight="1"/>
    <row r="4" spans="1:2" ht="19.5" customHeight="1">
      <c r="A4" s="776" t="s">
        <v>667</v>
      </c>
      <c r="B4" s="777" t="s">
        <v>668</v>
      </c>
    </row>
    <row r="5" ht="19.5" customHeight="1">
      <c r="B5" s="776" t="s">
        <v>669</v>
      </c>
    </row>
    <row r="6" ht="19.5" customHeight="1"/>
    <row r="7" spans="1:2" ht="19.5" customHeight="1">
      <c r="A7" s="776" t="s">
        <v>670</v>
      </c>
      <c r="B7" s="777" t="s">
        <v>671</v>
      </c>
    </row>
    <row r="8" ht="19.5" customHeight="1">
      <c r="B8" s="776" t="s">
        <v>672</v>
      </c>
    </row>
    <row r="9" ht="19.5" customHeight="1"/>
    <row r="10" spans="1:2" ht="19.5" customHeight="1">
      <c r="A10" s="776" t="s">
        <v>673</v>
      </c>
      <c r="B10" s="777" t="s">
        <v>674</v>
      </c>
    </row>
    <row r="11" ht="19.5" customHeight="1">
      <c r="B11" s="776" t="s">
        <v>675</v>
      </c>
    </row>
    <row r="12" ht="19.5" customHeight="1"/>
    <row r="13" spans="1:2" ht="19.5" customHeight="1">
      <c r="A13" s="776" t="s">
        <v>676</v>
      </c>
      <c r="B13" s="777" t="s">
        <v>677</v>
      </c>
    </row>
    <row r="14" ht="19.5" customHeight="1">
      <c r="B14" s="776" t="s">
        <v>678</v>
      </c>
    </row>
    <row r="15" ht="19.5" customHeight="1"/>
    <row r="16" spans="1:2" ht="19.5" customHeight="1">
      <c r="A16" s="776" t="s">
        <v>679</v>
      </c>
      <c r="B16" s="777" t="s">
        <v>680</v>
      </c>
    </row>
    <row r="17" ht="19.5" customHeight="1">
      <c r="B17" s="776" t="s">
        <v>681</v>
      </c>
    </row>
    <row r="18" ht="19.5" customHeight="1"/>
    <row r="19" spans="1:2" ht="19.5" customHeight="1">
      <c r="A19" s="776" t="s">
        <v>682</v>
      </c>
      <c r="B19" s="777" t="s">
        <v>683</v>
      </c>
    </row>
    <row r="20" ht="19.5" customHeight="1">
      <c r="B20" s="777" t="s">
        <v>684</v>
      </c>
    </row>
    <row r="21" ht="19.5" customHeight="1">
      <c r="B21" s="777" t="s">
        <v>685</v>
      </c>
    </row>
    <row r="22" ht="19.5" customHeight="1"/>
    <row r="23" spans="1:2" ht="19.5" customHeight="1">
      <c r="A23" s="776" t="s">
        <v>686</v>
      </c>
      <c r="B23" s="777" t="s">
        <v>687</v>
      </c>
    </row>
    <row r="24" ht="19.5" customHeight="1">
      <c r="B24" s="777" t="s">
        <v>688</v>
      </c>
    </row>
  </sheetData>
  <printOptions/>
  <pageMargins left="0.75" right="0.75" top="1.76" bottom="1" header="1.03" footer="0.4921259845"/>
  <pageSetup horizontalDpi="600" verticalDpi="600" orientation="portrait" paperSize="9" r:id="rId1"/>
  <headerFooter alignWithMargins="0">
    <oddHeader>&amp;C&amp;"Times New Roman,Tučné"&amp;14SOUPIS  PŘÍLOH</oddHeader>
  </headerFooter>
</worksheet>
</file>

<file path=xl/worksheets/sheet10.xml><?xml version="1.0" encoding="utf-8"?>
<worksheet xmlns="http://schemas.openxmlformats.org/spreadsheetml/2006/main" xmlns:r="http://schemas.openxmlformats.org/officeDocument/2006/relationships">
  <dimension ref="A1:F67"/>
  <sheetViews>
    <sheetView workbookViewId="0" topLeftCell="A1">
      <pane ySplit="1" topLeftCell="BM15" activePane="bottomLeft" state="frozen"/>
      <selection pane="topLeft" activeCell="B4" sqref="B4"/>
      <selection pane="bottomLeft" activeCell="C37" sqref="C37"/>
    </sheetView>
  </sheetViews>
  <sheetFormatPr defaultColWidth="9.00390625" defaultRowHeight="12.75" outlineLevelRow="1" outlineLevelCol="1"/>
  <cols>
    <col min="1" max="1" width="19.00390625" style="538" customWidth="1"/>
    <col min="2" max="2" width="26.125" style="538" customWidth="1"/>
    <col min="3" max="3" width="13.75390625" style="556" customWidth="1"/>
    <col min="4" max="4" width="12.625" style="556" customWidth="1"/>
    <col min="5" max="5" width="45.625" style="538" customWidth="1"/>
    <col min="6" max="6" width="7.125" style="532" hidden="1" customWidth="1" outlineLevel="1"/>
    <col min="7" max="7" width="9.125" style="532" customWidth="1" collapsed="1"/>
    <col min="8" max="9" width="9.125" style="532" customWidth="1" outlineLevel="1"/>
    <col min="10" max="10" width="9.125" style="532" customWidth="1"/>
    <col min="11" max="11" width="9.125" style="532" customWidth="1" outlineLevel="1"/>
    <col min="12" max="12" width="9.125" style="532" customWidth="1"/>
    <col min="13" max="26" width="9.125" style="532" customWidth="1" collapsed="1"/>
    <col min="27" max="16384" width="9.125" style="532" customWidth="1"/>
  </cols>
  <sheetData>
    <row r="1" spans="1:6" s="192" customFormat="1" ht="48" customHeight="1">
      <c r="A1" s="516" t="s">
        <v>461</v>
      </c>
      <c r="B1" s="516" t="s">
        <v>19</v>
      </c>
      <c r="C1" s="570" t="s">
        <v>20</v>
      </c>
      <c r="D1" s="570" t="s">
        <v>62</v>
      </c>
      <c r="E1" s="570" t="s">
        <v>437</v>
      </c>
      <c r="F1" s="570"/>
    </row>
    <row r="2" spans="1:5" s="526" customFormat="1" ht="12.75" customHeight="1">
      <c r="A2" s="805" t="s">
        <v>63</v>
      </c>
      <c r="B2" s="806"/>
      <c r="C2" s="561"/>
      <c r="D2" s="524"/>
      <c r="E2" s="528"/>
    </row>
    <row r="3" spans="1:5" s="526" customFormat="1" ht="12.75" customHeight="1">
      <c r="A3" s="571"/>
      <c r="B3" s="572" t="s">
        <v>64</v>
      </c>
      <c r="C3" s="561"/>
      <c r="D3" s="524"/>
      <c r="E3" s="528"/>
    </row>
    <row r="4" spans="1:5" ht="12.75" customHeight="1">
      <c r="A4" s="529"/>
      <c r="B4" s="547" t="s">
        <v>65</v>
      </c>
      <c r="C4" s="561">
        <v>0</v>
      </c>
      <c r="D4" s="524">
        <v>5212</v>
      </c>
      <c r="E4" s="531"/>
    </row>
    <row r="5" spans="1:5" ht="12.75" customHeight="1" outlineLevel="1">
      <c r="A5" s="529"/>
      <c r="B5" s="547" t="s">
        <v>66</v>
      </c>
      <c r="C5" s="561">
        <v>0</v>
      </c>
      <c r="D5" s="524">
        <v>3448</v>
      </c>
      <c r="E5" s="531"/>
    </row>
    <row r="6" spans="1:5" ht="12.75" customHeight="1">
      <c r="A6" s="529"/>
      <c r="B6" s="547" t="s">
        <v>67</v>
      </c>
      <c r="C6" s="561">
        <v>0</v>
      </c>
      <c r="D6" s="524">
        <v>10524</v>
      </c>
      <c r="E6" s="531" t="s">
        <v>68</v>
      </c>
    </row>
    <row r="7" spans="1:5" ht="12.75" customHeight="1" hidden="1" outlineLevel="1">
      <c r="A7" s="529"/>
      <c r="B7" s="547" t="s">
        <v>69</v>
      </c>
      <c r="C7" s="561">
        <v>0</v>
      </c>
      <c r="D7" s="524">
        <v>0</v>
      </c>
      <c r="E7" s="531"/>
    </row>
    <row r="8" spans="1:5" ht="12.75" customHeight="1" outlineLevel="1">
      <c r="A8" s="529"/>
      <c r="B8" s="547" t="s">
        <v>69</v>
      </c>
      <c r="C8" s="561">
        <v>0</v>
      </c>
      <c r="D8" s="524">
        <v>13125</v>
      </c>
      <c r="E8" s="531"/>
    </row>
    <row r="9" spans="1:5" ht="12.75" customHeight="1">
      <c r="A9" s="529"/>
      <c r="B9" s="547" t="s">
        <v>70</v>
      </c>
      <c r="C9" s="561">
        <v>0</v>
      </c>
      <c r="D9" s="524">
        <v>4230673.98</v>
      </c>
      <c r="E9" s="531" t="s">
        <v>71</v>
      </c>
    </row>
    <row r="10" spans="1:5" ht="12.75" customHeight="1">
      <c r="A10" s="521"/>
      <c r="B10" s="528" t="s">
        <v>72</v>
      </c>
      <c r="C10" s="561">
        <v>0</v>
      </c>
      <c r="D10" s="524">
        <v>109644</v>
      </c>
      <c r="E10" s="521"/>
    </row>
    <row r="11" spans="1:5" ht="12.75" customHeight="1">
      <c r="A11" s="533"/>
      <c r="B11" s="547" t="s">
        <v>73</v>
      </c>
      <c r="C11" s="561">
        <v>0</v>
      </c>
      <c r="D11" s="524">
        <v>122105.39</v>
      </c>
      <c r="E11" s="561"/>
    </row>
    <row r="12" spans="1:5" ht="12.75" customHeight="1">
      <c r="A12" s="541"/>
      <c r="B12" s="547" t="s">
        <v>74</v>
      </c>
      <c r="C12" s="561">
        <v>0</v>
      </c>
      <c r="D12" s="524">
        <v>310000</v>
      </c>
      <c r="E12" s="542"/>
    </row>
    <row r="13" spans="1:5" ht="12.75" customHeight="1" hidden="1">
      <c r="A13" s="541"/>
      <c r="B13" s="547" t="s">
        <v>75</v>
      </c>
      <c r="C13" s="561">
        <v>0</v>
      </c>
      <c r="D13" s="524">
        <v>0</v>
      </c>
      <c r="E13" s="542"/>
    </row>
    <row r="14" spans="1:5" ht="12.75" customHeight="1" hidden="1" outlineLevel="1">
      <c r="A14" s="541"/>
      <c r="B14" s="547" t="s">
        <v>76</v>
      </c>
      <c r="C14" s="561">
        <v>0</v>
      </c>
      <c r="D14" s="524">
        <v>0</v>
      </c>
      <c r="E14" s="542"/>
    </row>
    <row r="15" spans="1:5" ht="12.75" customHeight="1" collapsed="1">
      <c r="A15" s="541"/>
      <c r="B15" s="547"/>
      <c r="C15" s="561"/>
      <c r="D15" s="524"/>
      <c r="E15" s="542"/>
    </row>
    <row r="16" spans="1:5" s="569" customFormat="1" ht="12.75" customHeight="1">
      <c r="A16" s="573"/>
      <c r="B16" s="533" t="s">
        <v>77</v>
      </c>
      <c r="C16" s="574">
        <v>0</v>
      </c>
      <c r="D16" s="575">
        <f>SUM(D4:D14)</f>
        <v>4804732.37</v>
      </c>
      <c r="E16" s="576"/>
    </row>
    <row r="17" spans="1:5" ht="12.75" customHeight="1">
      <c r="A17" s="543"/>
      <c r="B17" s="547"/>
      <c r="C17" s="561"/>
      <c r="D17" s="524"/>
      <c r="E17" s="542"/>
    </row>
    <row r="18" spans="1:5" ht="12.75" customHeight="1">
      <c r="A18" s="544"/>
      <c r="B18" s="547" t="s">
        <v>78</v>
      </c>
      <c r="C18" s="561"/>
      <c r="D18" s="524"/>
      <c r="E18" s="542"/>
    </row>
    <row r="19" spans="1:5" ht="20.25" customHeight="1">
      <c r="A19" s="544"/>
      <c r="B19" s="547" t="s">
        <v>79</v>
      </c>
      <c r="C19" s="561">
        <v>0</v>
      </c>
      <c r="D19" s="524">
        <v>-1200</v>
      </c>
      <c r="E19" s="542" t="s">
        <v>80</v>
      </c>
    </row>
    <row r="20" spans="1:5" ht="12.75" customHeight="1" hidden="1" outlineLevel="1">
      <c r="A20" s="544"/>
      <c r="B20" s="547" t="s">
        <v>81</v>
      </c>
      <c r="C20" s="561">
        <v>0</v>
      </c>
      <c r="D20" s="524">
        <v>0</v>
      </c>
      <c r="E20" s="542"/>
    </row>
    <row r="21" spans="1:5" ht="12.75" customHeight="1" collapsed="1">
      <c r="A21" s="529"/>
      <c r="B21" s="547" t="s">
        <v>66</v>
      </c>
      <c r="C21" s="561">
        <v>0</v>
      </c>
      <c r="D21" s="524">
        <v>29382.9</v>
      </c>
      <c r="E21" s="545"/>
    </row>
    <row r="22" spans="1:5" s="565" customFormat="1" ht="12.75" customHeight="1">
      <c r="A22" s="562"/>
      <c r="B22" s="577" t="s">
        <v>69</v>
      </c>
      <c r="C22" s="561">
        <v>0</v>
      </c>
      <c r="D22" s="524">
        <v>5474</v>
      </c>
      <c r="E22" s="578"/>
    </row>
    <row r="23" spans="1:5" ht="12.75" customHeight="1">
      <c r="A23" s="529"/>
      <c r="B23" s="547" t="s">
        <v>70</v>
      </c>
      <c r="C23" s="561">
        <v>0</v>
      </c>
      <c r="D23" s="524">
        <v>750497.1</v>
      </c>
      <c r="E23" s="579" t="s">
        <v>82</v>
      </c>
    </row>
    <row r="24" spans="1:5" ht="12.75" customHeight="1">
      <c r="A24" s="529"/>
      <c r="B24" s="547" t="s">
        <v>72</v>
      </c>
      <c r="C24" s="561">
        <v>0</v>
      </c>
      <c r="D24" s="524">
        <v>38925</v>
      </c>
      <c r="E24" s="580"/>
    </row>
    <row r="25" spans="1:5" ht="12.75" customHeight="1">
      <c r="A25" s="529"/>
      <c r="B25" s="547" t="s">
        <v>74</v>
      </c>
      <c r="C25" s="561">
        <v>0</v>
      </c>
      <c r="D25" s="524">
        <v>40000</v>
      </c>
      <c r="E25" s="580"/>
    </row>
    <row r="26" spans="1:5" ht="12.75" customHeight="1" hidden="1">
      <c r="A26" s="529"/>
      <c r="B26" s="547" t="s">
        <v>83</v>
      </c>
      <c r="C26" s="561">
        <v>0</v>
      </c>
      <c r="D26" s="524"/>
      <c r="E26" s="580"/>
    </row>
    <row r="27" spans="1:5" ht="12.75" customHeight="1">
      <c r="A27" s="529"/>
      <c r="B27" s="547"/>
      <c r="C27" s="561"/>
      <c r="D27" s="524"/>
      <c r="E27" s="580"/>
    </row>
    <row r="28" spans="1:5" s="569" customFormat="1" ht="12.75" customHeight="1">
      <c r="A28" s="581"/>
      <c r="B28" s="533" t="s">
        <v>77</v>
      </c>
      <c r="C28" s="574">
        <v>0</v>
      </c>
      <c r="D28" s="575">
        <f>SUM(D19:D26)</f>
        <v>863079</v>
      </c>
      <c r="E28" s="582"/>
    </row>
    <row r="29" spans="1:5" ht="12.75" customHeight="1">
      <c r="A29" s="529"/>
      <c r="B29" s="547"/>
      <c r="C29" s="561"/>
      <c r="D29" s="524"/>
      <c r="E29" s="580"/>
    </row>
    <row r="30" spans="1:5" ht="12.75" customHeight="1">
      <c r="A30" s="529" t="s">
        <v>84</v>
      </c>
      <c r="B30" s="547" t="s">
        <v>67</v>
      </c>
      <c r="C30" s="561">
        <v>0</v>
      </c>
      <c r="D30" s="524">
        <v>1200</v>
      </c>
      <c r="E30" s="580"/>
    </row>
    <row r="31" spans="1:5" ht="12.75" customHeight="1">
      <c r="A31" s="529"/>
      <c r="B31" s="547"/>
      <c r="C31" s="561"/>
      <c r="D31" s="524"/>
      <c r="E31" s="580"/>
    </row>
    <row r="32" spans="1:5" s="569" customFormat="1" ht="12.75" customHeight="1">
      <c r="A32" s="581"/>
      <c r="B32" s="533" t="s">
        <v>77</v>
      </c>
      <c r="C32" s="574">
        <v>0</v>
      </c>
      <c r="D32" s="575">
        <f>SUM(D30:D31)</f>
        <v>1200</v>
      </c>
      <c r="E32" s="582"/>
    </row>
    <row r="33" spans="1:5" ht="12.75" customHeight="1" thickBot="1">
      <c r="A33" s="529"/>
      <c r="B33" s="547"/>
      <c r="C33" s="561"/>
      <c r="D33" s="524"/>
      <c r="E33" s="580"/>
    </row>
    <row r="34" spans="1:5" s="537" customFormat="1" ht="12.75" customHeight="1" thickBot="1">
      <c r="A34" s="534" t="s">
        <v>85</v>
      </c>
      <c r="B34" s="534"/>
      <c r="C34" s="583">
        <v>0</v>
      </c>
      <c r="D34" s="549">
        <f>D16+D28+D32</f>
        <v>5669011.37</v>
      </c>
      <c r="E34" s="550"/>
    </row>
    <row r="35" spans="3:5" ht="12.75">
      <c r="C35" s="555"/>
      <c r="D35" s="555"/>
      <c r="E35" s="547"/>
    </row>
    <row r="36" spans="3:5" ht="12.75">
      <c r="C36" s="555"/>
      <c r="D36" s="555"/>
      <c r="E36" s="547"/>
    </row>
    <row r="37" spans="3:5" ht="12.75">
      <c r="C37" s="555"/>
      <c r="D37" s="555"/>
      <c r="E37" s="547"/>
    </row>
    <row r="38" spans="3:5" ht="12.75">
      <c r="C38" s="555"/>
      <c r="D38" s="555"/>
      <c r="E38" s="547"/>
    </row>
    <row r="39" spans="3:5" ht="12.75">
      <c r="C39" s="555"/>
      <c r="D39" s="555"/>
      <c r="E39" s="547"/>
    </row>
    <row r="40" ht="12.75">
      <c r="E40" s="547"/>
    </row>
    <row r="41" ht="12.75">
      <c r="E41" s="547"/>
    </row>
    <row r="42" ht="12.75">
      <c r="E42" s="547"/>
    </row>
    <row r="43" ht="12.75">
      <c r="E43" s="547"/>
    </row>
    <row r="44" ht="12.75">
      <c r="E44" s="547"/>
    </row>
    <row r="45" ht="12.75">
      <c r="E45" s="547"/>
    </row>
    <row r="46" ht="12.75">
      <c r="E46" s="547"/>
    </row>
    <row r="47" ht="12.75">
      <c r="E47" s="547"/>
    </row>
    <row r="48" ht="12.75">
      <c r="E48" s="547"/>
    </row>
    <row r="49" ht="12.75">
      <c r="E49" s="547"/>
    </row>
    <row r="50" ht="12.75">
      <c r="E50" s="547"/>
    </row>
    <row r="51" ht="12.75">
      <c r="E51" s="547"/>
    </row>
    <row r="52" ht="12.75">
      <c r="E52" s="547"/>
    </row>
    <row r="53" ht="12.75">
      <c r="E53" s="547"/>
    </row>
    <row r="54" ht="12.75">
      <c r="E54" s="547"/>
    </row>
    <row r="55" ht="12.75">
      <c r="E55" s="547"/>
    </row>
    <row r="56" ht="12.75">
      <c r="E56" s="547"/>
    </row>
    <row r="57" ht="12.75">
      <c r="E57" s="547"/>
    </row>
    <row r="58" ht="12.75">
      <c r="E58" s="547"/>
    </row>
    <row r="59" ht="12.75">
      <c r="E59" s="547"/>
    </row>
    <row r="60" ht="12.75">
      <c r="E60" s="547"/>
    </row>
    <row r="61" ht="12.75">
      <c r="E61" s="547"/>
    </row>
    <row r="62" ht="12.75">
      <c r="E62" s="547"/>
    </row>
    <row r="63" ht="12.75">
      <c r="E63" s="547"/>
    </row>
    <row r="64" ht="12.75">
      <c r="E64" s="547"/>
    </row>
    <row r="65" ht="12.75">
      <c r="E65" s="547"/>
    </row>
    <row r="66" ht="12.75">
      <c r="E66" s="547"/>
    </row>
    <row r="67" ht="12.75">
      <c r="E67" s="547"/>
    </row>
  </sheetData>
  <mergeCells count="1">
    <mergeCell ref="A2:B2"/>
  </mergeCells>
  <printOptions gridLines="1" horizontalCentered="1" verticalCentered="1"/>
  <pageMargins left="0.34" right="0.5905511811023623" top="0.92" bottom="0.54" header="0.54" footer="0.32"/>
  <pageSetup firstPageNumber="27" useFirstPageNumber="1" horizontalDpi="600" verticalDpi="600" orientation="landscape" paperSize="9" r:id="rId1"/>
  <headerFooter alignWithMargins="0">
    <oddHeader>&amp;Lv Kč&amp;C&amp;"Arial CE,Tučné"&amp;12Hospodaření účelových nerozpočtovaných fondů&amp;R&amp;"Arial CE,Tučné"&amp;11Příloha č. 7</oddHeader>
    <oddFooter>&amp;C27</oddFooter>
  </headerFooter>
</worksheet>
</file>

<file path=xl/worksheets/sheet11.xml><?xml version="1.0" encoding="utf-8"?>
<worksheet xmlns="http://schemas.openxmlformats.org/spreadsheetml/2006/main" xmlns:r="http://schemas.openxmlformats.org/officeDocument/2006/relationships">
  <dimension ref="A1:AN215"/>
  <sheetViews>
    <sheetView showGridLines="0" workbookViewId="0" topLeftCell="C16">
      <selection activeCell="C33" sqref="C33"/>
    </sheetView>
  </sheetViews>
  <sheetFormatPr defaultColWidth="9.00390625" defaultRowHeight="12.75"/>
  <cols>
    <col min="1" max="1" width="8.875" style="0" customWidth="1"/>
    <col min="2" max="2" width="13.375" style="0" customWidth="1"/>
    <col min="3" max="3" width="37.875" style="0" customWidth="1"/>
    <col min="4" max="4" width="15.00390625" style="0" customWidth="1"/>
    <col min="5" max="5" width="13.75390625" style="0" customWidth="1"/>
    <col min="6" max="6" width="18.75390625" style="0" customWidth="1"/>
    <col min="7" max="7" width="17.875" style="0" customWidth="1"/>
    <col min="8" max="8" width="17.125" style="0" customWidth="1"/>
    <col min="9" max="9" width="18.75390625" style="0" customWidth="1"/>
  </cols>
  <sheetData>
    <row r="1" spans="1:9" ht="15.75">
      <c r="A1" s="584" t="s">
        <v>91</v>
      </c>
      <c r="C1" s="584" t="s">
        <v>92</v>
      </c>
      <c r="I1" s="585" t="s">
        <v>93</v>
      </c>
    </row>
    <row r="2" spans="1:9" ht="12.75">
      <c r="A2" s="587" t="s">
        <v>94</v>
      </c>
      <c r="I2" s="585"/>
    </row>
    <row r="3" spans="1:9" ht="12.75">
      <c r="A3" s="587" t="s">
        <v>95</v>
      </c>
      <c r="I3" s="585"/>
    </row>
    <row r="4" spans="1:9" ht="15">
      <c r="A4" s="588" t="s">
        <v>96</v>
      </c>
      <c r="C4" s="589" t="s">
        <v>97</v>
      </c>
      <c r="I4" s="585"/>
    </row>
    <row r="5" spans="1:40" ht="15">
      <c r="A5" s="422"/>
      <c r="B5" s="422"/>
      <c r="C5" s="589" t="s">
        <v>98</v>
      </c>
      <c r="D5" s="422"/>
      <c r="E5" s="422"/>
      <c r="F5" s="422"/>
      <c r="G5" s="422"/>
      <c r="H5" s="422"/>
      <c r="I5" s="590"/>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row>
    <row r="6" spans="2:40" ht="15">
      <c r="B6" s="422"/>
      <c r="C6" s="589"/>
      <c r="D6" s="422"/>
      <c r="E6" s="422"/>
      <c r="F6" s="422"/>
      <c r="G6" s="422"/>
      <c r="H6" s="422"/>
      <c r="I6" s="590"/>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row>
    <row r="7" spans="1:40" ht="15.75">
      <c r="A7" s="591" t="s">
        <v>99</v>
      </c>
      <c r="B7" s="422"/>
      <c r="C7" s="589"/>
      <c r="D7" s="422"/>
      <c r="E7" s="422"/>
      <c r="F7" s="422"/>
      <c r="G7" s="422"/>
      <c r="H7" s="422"/>
      <c r="I7" s="590" t="s">
        <v>100</v>
      </c>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row>
    <row r="8" spans="1:40" ht="12.75">
      <c r="A8" s="592"/>
      <c r="B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row>
    <row r="9" spans="1:40" ht="16.5" thickBot="1">
      <c r="A9" s="593"/>
      <c r="B9" s="422"/>
      <c r="C9" s="422"/>
      <c r="D9" s="422"/>
      <c r="E9" s="422"/>
      <c r="F9" s="422"/>
      <c r="G9" s="422"/>
      <c r="H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row>
    <row r="10" spans="1:40" ht="15.75">
      <c r="A10" s="807" t="s">
        <v>101</v>
      </c>
      <c r="B10" s="807" t="s">
        <v>102</v>
      </c>
      <c r="C10" s="594"/>
      <c r="D10" s="807" t="s">
        <v>103</v>
      </c>
      <c r="E10" s="594" t="s">
        <v>104</v>
      </c>
      <c r="F10" s="594" t="s">
        <v>105</v>
      </c>
      <c r="G10" s="594" t="s">
        <v>106</v>
      </c>
      <c r="H10" s="807" t="s">
        <v>107</v>
      </c>
      <c r="I10" s="594" t="s">
        <v>108</v>
      </c>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row>
    <row r="11" spans="1:40" ht="15.75">
      <c r="A11" s="808"/>
      <c r="B11" s="810"/>
      <c r="C11" s="595" t="s">
        <v>109</v>
      </c>
      <c r="D11" s="808"/>
      <c r="E11" s="595" t="s">
        <v>110</v>
      </c>
      <c r="F11" s="596" t="s">
        <v>100</v>
      </c>
      <c r="G11" s="596" t="s">
        <v>111</v>
      </c>
      <c r="H11" s="808"/>
      <c r="I11" s="596" t="s">
        <v>112</v>
      </c>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row>
    <row r="12" spans="1:40" ht="16.5" thickBot="1">
      <c r="A12" s="809"/>
      <c r="B12" s="811"/>
      <c r="C12" s="312"/>
      <c r="D12" s="809"/>
      <c r="E12" s="597" t="s">
        <v>113</v>
      </c>
      <c r="F12" s="597" t="s">
        <v>114</v>
      </c>
      <c r="G12" s="597" t="s">
        <v>115</v>
      </c>
      <c r="H12" s="809"/>
      <c r="I12" s="598" t="s">
        <v>116</v>
      </c>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row>
    <row r="13" spans="1:40" ht="21.75" customHeight="1">
      <c r="A13" s="599"/>
      <c r="B13" s="600">
        <v>98071</v>
      </c>
      <c r="C13" s="601" t="s">
        <v>117</v>
      </c>
      <c r="D13" s="602">
        <v>0</v>
      </c>
      <c r="E13" s="602">
        <v>2067000</v>
      </c>
      <c r="F13" s="602">
        <v>2067000</v>
      </c>
      <c r="G13" s="602">
        <v>0</v>
      </c>
      <c r="H13" s="602">
        <v>2300428.38</v>
      </c>
      <c r="I13" s="602">
        <f aca="true" t="shared" si="0" ref="I13:I18">F13-H13</f>
        <v>-233428.3799999999</v>
      </c>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row>
    <row r="14" spans="1:40" ht="21.75" customHeight="1">
      <c r="A14" s="603"/>
      <c r="B14" s="604">
        <v>98187</v>
      </c>
      <c r="C14" s="603" t="s">
        <v>118</v>
      </c>
      <c r="D14" s="605">
        <v>0</v>
      </c>
      <c r="E14" s="605">
        <v>1775000</v>
      </c>
      <c r="F14" s="605">
        <v>1775000</v>
      </c>
      <c r="G14" s="605">
        <v>0</v>
      </c>
      <c r="H14" s="605">
        <v>3240985</v>
      </c>
      <c r="I14" s="605">
        <f t="shared" si="0"/>
        <v>-1465985</v>
      </c>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row>
    <row r="15" spans="1:40" ht="21.75" customHeight="1">
      <c r="A15" s="603"/>
      <c r="B15" s="604">
        <v>98072</v>
      </c>
      <c r="C15" s="603" t="s">
        <v>119</v>
      </c>
      <c r="D15" s="605">
        <v>181000000</v>
      </c>
      <c r="E15" s="605">
        <v>178000000</v>
      </c>
      <c r="F15" s="605">
        <v>178000000</v>
      </c>
      <c r="G15" s="605">
        <v>0</v>
      </c>
      <c r="H15" s="605">
        <v>155541372</v>
      </c>
      <c r="I15" s="605">
        <f t="shared" si="0"/>
        <v>22458628</v>
      </c>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row>
    <row r="16" spans="1:40" ht="21.75" customHeight="1">
      <c r="A16" s="603"/>
      <c r="B16" s="604">
        <v>98116</v>
      </c>
      <c r="C16" s="603" t="s">
        <v>120</v>
      </c>
      <c r="D16" s="605">
        <v>0</v>
      </c>
      <c r="E16" s="605">
        <v>977861</v>
      </c>
      <c r="F16" s="605">
        <v>977861</v>
      </c>
      <c r="G16" s="605">
        <v>0</v>
      </c>
      <c r="H16" s="605">
        <v>977861</v>
      </c>
      <c r="I16" s="605">
        <f t="shared" si="0"/>
        <v>0</v>
      </c>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row>
    <row r="17" spans="1:40" ht="21.75" customHeight="1">
      <c r="A17" s="603"/>
      <c r="B17" s="604">
        <v>98064</v>
      </c>
      <c r="C17" s="603" t="s">
        <v>121</v>
      </c>
      <c r="D17" s="605">
        <v>0</v>
      </c>
      <c r="E17" s="605">
        <v>345000</v>
      </c>
      <c r="F17" s="605">
        <v>345000</v>
      </c>
      <c r="G17" s="605">
        <v>0</v>
      </c>
      <c r="H17" s="605">
        <v>345000</v>
      </c>
      <c r="I17" s="605">
        <f t="shared" si="0"/>
        <v>0</v>
      </c>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row>
    <row r="18" spans="1:40" ht="21.75" customHeight="1">
      <c r="A18" s="603"/>
      <c r="B18" s="604">
        <v>98216</v>
      </c>
      <c r="C18" s="603" t="s">
        <v>122</v>
      </c>
      <c r="D18" s="605">
        <v>0</v>
      </c>
      <c r="E18" s="605">
        <v>582000</v>
      </c>
      <c r="F18" s="605">
        <v>582000</v>
      </c>
      <c r="G18" s="605">
        <v>0</v>
      </c>
      <c r="H18" s="605">
        <v>582000</v>
      </c>
      <c r="I18" s="605">
        <f t="shared" si="0"/>
        <v>0</v>
      </c>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row>
    <row r="19" spans="1:40" ht="21.75" customHeight="1">
      <c r="A19" s="603"/>
      <c r="B19" s="606"/>
      <c r="C19" s="603"/>
      <c r="D19" s="605"/>
      <c r="E19" s="605"/>
      <c r="F19" s="605"/>
      <c r="G19" s="605"/>
      <c r="H19" s="605"/>
      <c r="I19" s="605"/>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row>
    <row r="20" spans="1:40" ht="21.75" customHeight="1">
      <c r="A20" s="603"/>
      <c r="B20" s="606"/>
      <c r="C20" s="607" t="s">
        <v>123</v>
      </c>
      <c r="D20" s="605"/>
      <c r="E20" s="605"/>
      <c r="F20" s="605"/>
      <c r="G20" s="605"/>
      <c r="H20" s="605"/>
      <c r="I20" s="608">
        <f>I13+I14</f>
        <v>-1699413.38</v>
      </c>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row>
    <row r="21" spans="1:40" ht="21.75" customHeight="1">
      <c r="A21" s="603"/>
      <c r="B21" s="606"/>
      <c r="C21" s="607" t="s">
        <v>124</v>
      </c>
      <c r="D21" s="605"/>
      <c r="E21" s="605"/>
      <c r="F21" s="605"/>
      <c r="G21" s="605"/>
      <c r="H21" s="605"/>
      <c r="I21" s="608">
        <f>I15</f>
        <v>22458628</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row>
    <row r="22" spans="1:40" ht="21.75" customHeight="1">
      <c r="A22" s="603"/>
      <c r="B22" s="606"/>
      <c r="C22" s="603"/>
      <c r="D22" s="605"/>
      <c r="E22" s="605"/>
      <c r="F22" s="605"/>
      <c r="G22" s="605"/>
      <c r="H22" s="605"/>
      <c r="I22" s="605"/>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row>
    <row r="23" spans="1:40" ht="21.75" customHeight="1">
      <c r="A23" s="603"/>
      <c r="B23" s="603"/>
      <c r="C23" s="603"/>
      <c r="D23" s="605"/>
      <c r="E23" s="605"/>
      <c r="F23" s="605"/>
      <c r="G23" s="605"/>
      <c r="H23" s="605"/>
      <c r="I23" s="605"/>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row>
    <row r="24" spans="1:40" ht="21.75" customHeight="1">
      <c r="A24" s="603"/>
      <c r="B24" s="603"/>
      <c r="C24" s="603"/>
      <c r="D24" s="605"/>
      <c r="E24" s="605"/>
      <c r="F24" s="605"/>
      <c r="G24" s="605"/>
      <c r="H24" s="605"/>
      <c r="I24" s="605"/>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row>
    <row r="25" spans="1:40" ht="21.75" customHeight="1">
      <c r="A25" s="603"/>
      <c r="B25" s="603"/>
      <c r="C25" s="603"/>
      <c r="D25" s="605"/>
      <c r="E25" s="605"/>
      <c r="F25" s="605"/>
      <c r="G25" s="605"/>
      <c r="H25" s="605"/>
      <c r="I25" s="605"/>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row>
    <row r="26" spans="1:40" ht="21.75" customHeight="1" thickBot="1">
      <c r="A26" s="609"/>
      <c r="B26" s="609"/>
      <c r="C26" s="609"/>
      <c r="D26" s="610"/>
      <c r="E26" s="610"/>
      <c r="F26" s="610"/>
      <c r="G26" s="610"/>
      <c r="H26" s="610"/>
      <c r="I26" s="610"/>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row>
    <row r="27" spans="1:40" ht="12.75">
      <c r="A27" s="611" t="s">
        <v>125</v>
      </c>
      <c r="B27" s="611"/>
      <c r="C27" s="611"/>
      <c r="D27" s="611" t="s">
        <v>126</v>
      </c>
      <c r="E27" s="611"/>
      <c r="F27" s="611"/>
      <c r="G27" s="611" t="s">
        <v>127</v>
      </c>
      <c r="H27" s="611" t="s">
        <v>128</v>
      </c>
      <c r="I27" s="611"/>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row>
    <row r="28" spans="1:40" ht="12.75">
      <c r="A28" s="611" t="s">
        <v>129</v>
      </c>
      <c r="B28" s="611"/>
      <c r="C28" s="611"/>
      <c r="D28" s="611" t="s">
        <v>129</v>
      </c>
      <c r="E28" s="611"/>
      <c r="F28" s="612"/>
      <c r="G28" s="611"/>
      <c r="H28" s="611"/>
      <c r="I28" s="611"/>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row>
    <row r="29" spans="1:40" ht="12.75">
      <c r="A29" s="422"/>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row>
    <row r="30" spans="1:40" ht="12.75">
      <c r="A30" s="422"/>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row>
    <row r="31" spans="1:40" ht="12.75">
      <c r="A31" s="422"/>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row>
    <row r="32" spans="1:40" ht="12.75">
      <c r="A32" s="422"/>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row>
    <row r="33" spans="1:40" ht="12.75">
      <c r="A33" s="422"/>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row>
    <row r="34" spans="1:40" ht="12.75">
      <c r="A34" s="42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row>
    <row r="35" spans="1:40" ht="12.75">
      <c r="A35" s="422"/>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row>
    <row r="36" spans="1:40" ht="12.75">
      <c r="A36" s="422"/>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row>
    <row r="37" spans="1:40" ht="12.75">
      <c r="A37" s="422"/>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row>
    <row r="38" spans="1:40" ht="12.75">
      <c r="A38" s="422"/>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row>
    <row r="39" spans="1:40" ht="12.75">
      <c r="A39" s="422"/>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row>
    <row r="40" spans="1:40" ht="12.75">
      <c r="A40" s="422"/>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row>
    <row r="41" spans="1:40" ht="12.75">
      <c r="A41" s="422"/>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row>
    <row r="42" spans="1:40" ht="12.75">
      <c r="A42" s="422"/>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row>
    <row r="43" spans="1:40" ht="12.75">
      <c r="A43" s="422"/>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row>
    <row r="44" spans="1:40" ht="12.75">
      <c r="A44" s="422"/>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row>
    <row r="45" spans="1:40" ht="12.75">
      <c r="A45" s="422"/>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row>
    <row r="46" spans="1:40" ht="12.75">
      <c r="A46" s="422"/>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row>
    <row r="47" spans="1:40" ht="12.75">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row>
    <row r="48" spans="1:40" ht="12.75">
      <c r="A48" s="422"/>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row>
    <row r="49" spans="1:40" ht="12.75">
      <c r="A49" s="422"/>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row>
    <row r="50" spans="1:40" ht="12.75">
      <c r="A50" s="422"/>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row>
    <row r="51" spans="1:40" ht="12.75">
      <c r="A51" s="422"/>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row>
    <row r="52" spans="1:40" ht="12.75">
      <c r="A52" s="422"/>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row>
    <row r="53" spans="1:40" ht="12.75">
      <c r="A53" s="422"/>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row>
    <row r="54" spans="1:40" ht="12.75">
      <c r="A54" s="422"/>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row>
    <row r="55" spans="1:40" ht="12.75">
      <c r="A55" s="422"/>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row>
    <row r="56" spans="1:40" ht="12.75">
      <c r="A56" s="422"/>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row>
    <row r="57" spans="1:40" ht="12.75">
      <c r="A57" s="422"/>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row>
    <row r="58" spans="1:40" ht="12.75">
      <c r="A58" s="422"/>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row>
    <row r="59" spans="1:40" ht="12.75">
      <c r="A59" s="422"/>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row>
    <row r="60" spans="1:40" ht="12.75">
      <c r="A60" s="422"/>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row>
    <row r="61" spans="1:40" ht="12.75">
      <c r="A61" s="422"/>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row>
    <row r="62" spans="1:40" ht="12.75">
      <c r="A62" s="422"/>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row>
    <row r="63" spans="1:40" ht="12.75">
      <c r="A63" s="422"/>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row>
    <row r="64" spans="1:40" ht="12.75">
      <c r="A64" s="422"/>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row>
    <row r="65" spans="1:40" ht="12.75">
      <c r="A65" s="422"/>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row>
    <row r="66" spans="1:40" ht="12.75">
      <c r="A66" s="422"/>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row>
    <row r="67" spans="1:40" ht="12.75">
      <c r="A67" s="422"/>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row>
    <row r="68" spans="1:40" ht="12.75">
      <c r="A68" s="422"/>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row>
    <row r="69" spans="1:40" ht="12.75">
      <c r="A69" s="422"/>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2"/>
    </row>
    <row r="70" spans="1:40" ht="12.75">
      <c r="A70" s="422"/>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row>
    <row r="71" spans="1:40" ht="12.75">
      <c r="A71" s="422"/>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row>
    <row r="72" spans="1:40" ht="12.75">
      <c r="A72" s="422"/>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row>
    <row r="73" spans="1:38" ht="12.75">
      <c r="A73" s="422"/>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row>
    <row r="74" spans="1:38" ht="12.75">
      <c r="A74" s="422"/>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row>
    <row r="75" spans="1:38" ht="12.75">
      <c r="A75" s="422"/>
      <c r="B75" s="422"/>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row>
    <row r="76" spans="1:38" ht="12.75">
      <c r="A76" s="422"/>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row>
    <row r="77" spans="1:38" ht="12.75">
      <c r="A77" s="422"/>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row>
    <row r="78" spans="1:38" ht="12.75">
      <c r="A78" s="422"/>
      <c r="B78" s="422"/>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row>
    <row r="79" spans="1:38" ht="12.75">
      <c r="A79" s="422"/>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row>
    <row r="80" spans="1:38" ht="12.75">
      <c r="A80" s="422"/>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row>
    <row r="81" spans="1:38" ht="12.75">
      <c r="A81" s="422"/>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row>
    <row r="82" spans="1:38" ht="12.75">
      <c r="A82" s="422"/>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row>
    <row r="83" spans="1:38" ht="12.75">
      <c r="A83" s="422"/>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row>
    <row r="84" spans="1:38" ht="12.75">
      <c r="A84" s="422"/>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row>
    <row r="85" spans="1:38" ht="12.75">
      <c r="A85" s="422"/>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row>
    <row r="86" spans="1:38" ht="12.75">
      <c r="A86" s="422"/>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row>
    <row r="87" spans="1:38" ht="12.75">
      <c r="A87" s="422"/>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row>
    <row r="88" spans="1:38" ht="12.75">
      <c r="A88" s="422"/>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row>
    <row r="89" spans="1:38" ht="12.75">
      <c r="A89" s="422"/>
      <c r="B89" s="422"/>
      <c r="C89" s="422"/>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row>
    <row r="90" spans="1:38" ht="12.75">
      <c r="A90" s="422"/>
      <c r="B90" s="422"/>
      <c r="C90" s="422"/>
      <c r="D90" s="422"/>
      <c r="E90" s="422"/>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row>
    <row r="91" spans="1:38" ht="12.75">
      <c r="A91" s="422"/>
      <c r="B91" s="422"/>
      <c r="C91" s="422"/>
      <c r="D91" s="422"/>
      <c r="E91" s="422"/>
      <c r="F91" s="422"/>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row>
    <row r="92" spans="1:38" ht="12.75">
      <c r="A92" s="422"/>
      <c r="B92" s="422"/>
      <c r="C92" s="422"/>
      <c r="D92" s="422"/>
      <c r="E92" s="422"/>
      <c r="F92" s="422"/>
      <c r="G92" s="422"/>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row>
    <row r="93" spans="1:38" ht="12.75">
      <c r="A93" s="422"/>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row>
    <row r="94" spans="1:38" ht="12.75">
      <c r="A94" s="422"/>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row>
    <row r="95" spans="1:38" ht="12.75">
      <c r="A95" s="422"/>
      <c r="B95" s="422"/>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row>
    <row r="96" spans="1:38" ht="12.75">
      <c r="A96" s="422"/>
      <c r="B96" s="422"/>
      <c r="C96" s="422"/>
      <c r="D96" s="422"/>
      <c r="E96" s="422"/>
      <c r="F96" s="422"/>
      <c r="G96" s="422"/>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row>
    <row r="97" spans="1:38" ht="12.75">
      <c r="A97" s="422"/>
      <c r="B97" s="422"/>
      <c r="C97" s="422"/>
      <c r="D97" s="422"/>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row>
    <row r="98" spans="1:38" ht="12.75">
      <c r="A98" s="422"/>
      <c r="B98" s="422"/>
      <c r="C98" s="422"/>
      <c r="D98" s="422"/>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row>
    <row r="99" spans="1:38" ht="12.75">
      <c r="A99" s="422"/>
      <c r="B99" s="422"/>
      <c r="C99" s="422"/>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row>
    <row r="100" spans="1:38" ht="12.75">
      <c r="A100" s="422"/>
      <c r="B100" s="422"/>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row>
    <row r="101" spans="1:38" ht="12.75">
      <c r="A101" s="422"/>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row>
    <row r="102" spans="1:38" ht="12.75">
      <c r="A102" s="422"/>
      <c r="B102" s="422"/>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row>
    <row r="103" spans="1:38" ht="12.75">
      <c r="A103" s="422"/>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row>
    <row r="104" spans="1:38" ht="12.75">
      <c r="A104" s="422"/>
      <c r="B104" s="422"/>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row>
    <row r="105" spans="1:38" ht="12.75">
      <c r="A105" s="422"/>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row>
    <row r="106" spans="1:38" ht="12.75">
      <c r="A106" s="422"/>
      <c r="B106" s="422"/>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row>
    <row r="107" spans="1:38" ht="12.75">
      <c r="A107" s="422"/>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row>
    <row r="108" spans="1:38" ht="12.75">
      <c r="A108" s="422"/>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row>
    <row r="109" spans="1:38" ht="12.75">
      <c r="A109" s="422"/>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row>
    <row r="110" spans="1:38" ht="12.75">
      <c r="A110" s="422"/>
      <c r="B110" s="422"/>
      <c r="C110" s="422"/>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row>
    <row r="111" spans="1:38" ht="12.75">
      <c r="A111" s="422"/>
      <c r="B111" s="422"/>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row>
    <row r="112" spans="1:38" ht="12.75">
      <c r="A112" s="422"/>
      <c r="B112" s="422"/>
      <c r="C112" s="422"/>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row>
    <row r="113" spans="1:38" ht="12.75">
      <c r="A113" s="422"/>
      <c r="B113" s="422"/>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row>
    <row r="114" spans="1:38" ht="12.75">
      <c r="A114" s="422"/>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row>
    <row r="115" spans="1:38" ht="12.75">
      <c r="A115" s="422"/>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row>
    <row r="116" spans="1:38" ht="12.75">
      <c r="A116" s="422"/>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row>
    <row r="117" spans="1:38" ht="12.75">
      <c r="A117" s="422"/>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row>
    <row r="118" spans="1:38" ht="12.75">
      <c r="A118" s="422"/>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row>
    <row r="119" spans="1:38" ht="12.75">
      <c r="A119" s="422"/>
      <c r="B119" s="422"/>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row>
    <row r="120" spans="1:38" ht="12.75">
      <c r="A120" s="422"/>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row>
    <row r="121" spans="1:38" ht="12.75">
      <c r="A121" s="422"/>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row>
    <row r="122" spans="1:38" ht="12.75">
      <c r="A122" s="422"/>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row>
    <row r="123" spans="1:38" ht="12.75">
      <c r="A123" s="422"/>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c r="AK123" s="422"/>
      <c r="AL123" s="422"/>
    </row>
    <row r="124" spans="1:38" ht="12.75">
      <c r="A124" s="422"/>
      <c r="B124" s="422"/>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row>
    <row r="125" spans="1:38" ht="12.75">
      <c r="A125" s="422"/>
      <c r="B125" s="422"/>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422"/>
      <c r="AE125" s="422"/>
      <c r="AF125" s="422"/>
      <c r="AG125" s="422"/>
      <c r="AH125" s="422"/>
      <c r="AI125" s="422"/>
      <c r="AJ125" s="422"/>
      <c r="AK125" s="422"/>
      <c r="AL125" s="422"/>
    </row>
    <row r="126" spans="1:38" ht="12.75">
      <c r="A126" s="422"/>
      <c r="B126" s="422"/>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422"/>
      <c r="AE126" s="422"/>
      <c r="AF126" s="422"/>
      <c r="AG126" s="422"/>
      <c r="AH126" s="422"/>
      <c r="AI126" s="422"/>
      <c r="AJ126" s="422"/>
      <c r="AK126" s="422"/>
      <c r="AL126" s="422"/>
    </row>
    <row r="127" spans="1:38" ht="12.75">
      <c r="A127" s="422"/>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row>
    <row r="128" spans="1:38" ht="12.75">
      <c r="A128" s="422"/>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row>
    <row r="129" spans="1:38" ht="12.75">
      <c r="A129" s="422"/>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row>
    <row r="130" spans="1:38" ht="12.75">
      <c r="A130" s="422"/>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row>
    <row r="131" spans="1:38" ht="12.75">
      <c r="A131" s="422"/>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row>
    <row r="132" spans="1:38" ht="12.75">
      <c r="A132" s="422"/>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row>
    <row r="133" spans="1:38" ht="12.75">
      <c r="A133" s="422"/>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row>
    <row r="134" spans="1:38" ht="12.75">
      <c r="A134" s="422"/>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row>
    <row r="135" spans="1:38" ht="12.75">
      <c r="A135" s="422"/>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row>
    <row r="136" spans="1:38" ht="12.75">
      <c r="A136" s="422"/>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row>
    <row r="137" spans="1:38" ht="12.75">
      <c r="A137" s="422"/>
      <c r="B137" s="422"/>
      <c r="C137" s="422"/>
      <c r="D137" s="422"/>
      <c r="E137" s="422"/>
      <c r="F137" s="422"/>
      <c r="G137" s="422"/>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2"/>
      <c r="AJ137" s="422"/>
      <c r="AK137" s="422"/>
      <c r="AL137" s="422"/>
    </row>
    <row r="138" spans="1:38" ht="12.75">
      <c r="A138" s="422"/>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422"/>
      <c r="AE138" s="422"/>
      <c r="AF138" s="422"/>
      <c r="AG138" s="422"/>
      <c r="AH138" s="422"/>
      <c r="AI138" s="422"/>
      <c r="AJ138" s="422"/>
      <c r="AK138" s="422"/>
      <c r="AL138" s="422"/>
    </row>
    <row r="139" spans="1:38" ht="12.75">
      <c r="A139" s="422"/>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422"/>
      <c r="AE139" s="422"/>
      <c r="AF139" s="422"/>
      <c r="AG139" s="422"/>
      <c r="AH139" s="422"/>
      <c r="AI139" s="422"/>
      <c r="AJ139" s="422"/>
      <c r="AK139" s="422"/>
      <c r="AL139" s="422"/>
    </row>
    <row r="140" spans="1:38" ht="12.75">
      <c r="A140" s="422"/>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422"/>
    </row>
    <row r="141" spans="1:38" ht="12.75">
      <c r="A141" s="422"/>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row>
    <row r="142" spans="1:38" ht="12.75">
      <c r="A142" s="422"/>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422"/>
      <c r="AE142" s="422"/>
      <c r="AF142" s="422"/>
      <c r="AG142" s="422"/>
      <c r="AH142" s="422"/>
      <c r="AI142" s="422"/>
      <c r="AJ142" s="422"/>
      <c r="AK142" s="422"/>
      <c r="AL142" s="422"/>
    </row>
    <row r="143" spans="1:38" ht="12.75">
      <c r="A143" s="422"/>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row>
    <row r="144" spans="1:38" ht="12.75">
      <c r="A144" s="422"/>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row>
    <row r="145" spans="1:38" ht="12.75">
      <c r="A145" s="422"/>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c r="AG145" s="422"/>
      <c r="AH145" s="422"/>
      <c r="AI145" s="422"/>
      <c r="AJ145" s="422"/>
      <c r="AK145" s="422"/>
      <c r="AL145" s="422"/>
    </row>
    <row r="146" spans="1:38" ht="12.75">
      <c r="A146" s="422"/>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c r="AG146" s="422"/>
      <c r="AH146" s="422"/>
      <c r="AI146" s="422"/>
      <c r="AJ146" s="422"/>
      <c r="AK146" s="422"/>
      <c r="AL146" s="422"/>
    </row>
    <row r="147" spans="1:38" ht="12.75">
      <c r="A147" s="422"/>
      <c r="B147" s="422"/>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422"/>
      <c r="AE147" s="422"/>
      <c r="AF147" s="422"/>
      <c r="AG147" s="422"/>
      <c r="AH147" s="422"/>
      <c r="AI147" s="422"/>
      <c r="AJ147" s="422"/>
      <c r="AK147" s="422"/>
      <c r="AL147" s="422"/>
    </row>
    <row r="148" spans="1:38" ht="12.75">
      <c r="A148" s="422"/>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422"/>
      <c r="AE148" s="422"/>
      <c r="AF148" s="422"/>
      <c r="AG148" s="422"/>
      <c r="AH148" s="422"/>
      <c r="AI148" s="422"/>
      <c r="AJ148" s="422"/>
      <c r="AK148" s="422"/>
      <c r="AL148" s="422"/>
    </row>
    <row r="149" spans="1:38" ht="12.75">
      <c r="A149" s="422"/>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row>
    <row r="150" spans="1:38" ht="12.75">
      <c r="A150" s="422"/>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row>
    <row r="151" spans="1:38" ht="12.75">
      <c r="A151" s="422"/>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2"/>
      <c r="AE151" s="422"/>
      <c r="AF151" s="422"/>
      <c r="AG151" s="422"/>
      <c r="AH151" s="422"/>
      <c r="AI151" s="422"/>
      <c r="AJ151" s="422"/>
      <c r="AK151" s="422"/>
      <c r="AL151" s="422"/>
    </row>
    <row r="152" spans="1:38" ht="12.75">
      <c r="A152" s="422"/>
      <c r="B152" s="422"/>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2"/>
      <c r="AD152" s="422"/>
      <c r="AE152" s="422"/>
      <c r="AF152" s="422"/>
      <c r="AG152" s="422"/>
      <c r="AH152" s="422"/>
      <c r="AI152" s="422"/>
      <c r="AJ152" s="422"/>
      <c r="AK152" s="422"/>
      <c r="AL152" s="422"/>
    </row>
    <row r="153" spans="1:38" ht="12.75">
      <c r="A153" s="422"/>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row>
    <row r="154" spans="1:38" ht="12.75">
      <c r="A154" s="422"/>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422"/>
      <c r="AE154" s="422"/>
      <c r="AF154" s="422"/>
      <c r="AG154" s="422"/>
      <c r="AH154" s="422"/>
      <c r="AI154" s="422"/>
      <c r="AJ154" s="422"/>
      <c r="AK154" s="422"/>
      <c r="AL154" s="422"/>
    </row>
    <row r="155" spans="1:38" ht="12.75">
      <c r="A155" s="422"/>
      <c r="B155" s="422"/>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c r="AK155" s="422"/>
      <c r="AL155" s="422"/>
    </row>
    <row r="156" spans="1:38" ht="12.75">
      <c r="A156" s="422"/>
      <c r="B156" s="422"/>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row>
    <row r="157" spans="1:38" ht="12.75">
      <c r="A157" s="422"/>
      <c r="B157" s="422"/>
      <c r="C157" s="422"/>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422"/>
      <c r="AE157" s="422"/>
      <c r="AF157" s="422"/>
      <c r="AG157" s="422"/>
      <c r="AH157" s="422"/>
      <c r="AI157" s="422"/>
      <c r="AJ157" s="422"/>
      <c r="AK157" s="422"/>
      <c r="AL157" s="422"/>
    </row>
    <row r="158" spans="1:38" ht="12.75">
      <c r="A158" s="422"/>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row>
    <row r="159" spans="1:38" ht="12.75">
      <c r="A159" s="422"/>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row>
    <row r="160" spans="1:38" ht="12.75">
      <c r="A160" s="422"/>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row>
    <row r="161" spans="1:38" ht="12.75">
      <c r="A161" s="422"/>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row>
    <row r="162" spans="1:38" ht="12.75">
      <c r="A162" s="422"/>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row>
    <row r="163" spans="1:38" ht="12.75">
      <c r="A163" s="422"/>
      <c r="B163" s="422"/>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row>
    <row r="164" spans="1:38" ht="12.75">
      <c r="A164" s="422"/>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row>
    <row r="165" spans="1:38" ht="12.75">
      <c r="A165" s="422"/>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row>
    <row r="166" spans="1:38" ht="12.75">
      <c r="A166" s="422"/>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422"/>
      <c r="AE166" s="422"/>
      <c r="AF166" s="422"/>
      <c r="AG166" s="422"/>
      <c r="AH166" s="422"/>
      <c r="AI166" s="422"/>
      <c r="AJ166" s="422"/>
      <c r="AK166" s="422"/>
      <c r="AL166" s="422"/>
    </row>
    <row r="167" spans="1:38" ht="12.75">
      <c r="A167" s="422"/>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row>
    <row r="168" spans="1:38" ht="12.75">
      <c r="A168" s="422"/>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c r="AK168" s="422"/>
      <c r="AL168" s="422"/>
    </row>
    <row r="169" spans="1:38" ht="12.75">
      <c r="A169" s="422"/>
      <c r="B169" s="422"/>
      <c r="C169" s="422"/>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422"/>
      <c r="AE169" s="422"/>
      <c r="AF169" s="422"/>
      <c r="AG169" s="422"/>
      <c r="AH169" s="422"/>
      <c r="AI169" s="422"/>
      <c r="AJ169" s="422"/>
      <c r="AK169" s="422"/>
      <c r="AL169" s="422"/>
    </row>
    <row r="170" spans="1:38" ht="12.75">
      <c r="A170" s="422"/>
      <c r="B170" s="422"/>
      <c r="C170" s="422"/>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c r="AK170" s="422"/>
      <c r="AL170" s="422"/>
    </row>
    <row r="171" spans="1:38" ht="12.75">
      <c r="A171" s="422"/>
      <c r="B171" s="422"/>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row>
    <row r="172" spans="1:38" ht="12.75">
      <c r="A172" s="422"/>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422"/>
      <c r="AE172" s="422"/>
      <c r="AF172" s="422"/>
      <c r="AG172" s="422"/>
      <c r="AH172" s="422"/>
      <c r="AI172" s="422"/>
      <c r="AJ172" s="422"/>
      <c r="AK172" s="422"/>
      <c r="AL172" s="422"/>
    </row>
    <row r="173" spans="1:38" ht="12.75">
      <c r="A173" s="422"/>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row>
    <row r="174" spans="1:38" ht="12.75">
      <c r="A174" s="422"/>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row>
    <row r="175" spans="1:38" ht="12.75">
      <c r="A175" s="422"/>
      <c r="B175" s="422"/>
      <c r="C175" s="422"/>
      <c r="D175" s="422"/>
      <c r="E175" s="422"/>
      <c r="F175" s="422"/>
      <c r="G175" s="422"/>
      <c r="H175" s="422"/>
      <c r="I175" s="422"/>
      <c r="J175" s="422"/>
      <c r="K175" s="422"/>
      <c r="L175" s="422"/>
      <c r="M175" s="422"/>
      <c r="N175" s="422"/>
      <c r="O175" s="422"/>
      <c r="P175" s="422"/>
      <c r="Q175" s="422"/>
      <c r="R175" s="422"/>
      <c r="S175" s="422"/>
      <c r="T175" s="422"/>
      <c r="U175" s="422"/>
      <c r="V175" s="422"/>
      <c r="W175" s="422"/>
      <c r="X175" s="422"/>
      <c r="Y175" s="422"/>
      <c r="Z175" s="422"/>
      <c r="AA175" s="422"/>
      <c r="AB175" s="422"/>
      <c r="AC175" s="422"/>
      <c r="AD175" s="422"/>
      <c r="AE175" s="422"/>
      <c r="AF175" s="422"/>
      <c r="AG175" s="422"/>
      <c r="AH175" s="422"/>
      <c r="AI175" s="422"/>
      <c r="AJ175" s="422"/>
      <c r="AK175" s="422"/>
      <c r="AL175" s="422"/>
    </row>
    <row r="176" spans="1:38" ht="12.75">
      <c r="A176" s="422"/>
      <c r="B176" s="422"/>
      <c r="C176" s="422"/>
      <c r="D176" s="422"/>
      <c r="E176" s="422"/>
      <c r="F176" s="422"/>
      <c r="G176" s="422"/>
      <c r="H176" s="422"/>
      <c r="I176" s="422"/>
      <c r="J176" s="422"/>
      <c r="K176" s="422"/>
      <c r="L176" s="422"/>
      <c r="M176" s="422"/>
      <c r="N176" s="422"/>
      <c r="O176" s="422"/>
      <c r="P176" s="422"/>
      <c r="Q176" s="422"/>
      <c r="R176" s="422"/>
      <c r="S176" s="422"/>
      <c r="T176" s="422"/>
      <c r="U176" s="422"/>
      <c r="V176" s="422"/>
      <c r="W176" s="422"/>
      <c r="X176" s="422"/>
      <c r="Y176" s="422"/>
      <c r="Z176" s="422"/>
      <c r="AA176" s="422"/>
      <c r="AB176" s="422"/>
      <c r="AC176" s="422"/>
      <c r="AD176" s="422"/>
      <c r="AE176" s="422"/>
      <c r="AF176" s="422"/>
      <c r="AG176" s="422"/>
      <c r="AH176" s="422"/>
      <c r="AI176" s="422"/>
      <c r="AJ176" s="422"/>
      <c r="AK176" s="422"/>
      <c r="AL176" s="422"/>
    </row>
    <row r="177" spans="1:38" ht="12.75">
      <c r="A177" s="422"/>
      <c r="B177" s="422"/>
      <c r="C177" s="422"/>
      <c r="D177" s="422"/>
      <c r="E177" s="422"/>
      <c r="F177" s="422"/>
      <c r="G177" s="422"/>
      <c r="H177" s="422"/>
      <c r="I177" s="422"/>
      <c r="J177" s="422"/>
      <c r="K177" s="422"/>
      <c r="L177" s="422"/>
      <c r="M177" s="422"/>
      <c r="N177" s="422"/>
      <c r="O177" s="422"/>
      <c r="P177" s="422"/>
      <c r="Q177" s="422"/>
      <c r="R177" s="422"/>
      <c r="S177" s="422"/>
      <c r="T177" s="422"/>
      <c r="U177" s="422"/>
      <c r="V177" s="422"/>
      <c r="W177" s="422"/>
      <c r="X177" s="422"/>
      <c r="Y177" s="422"/>
      <c r="Z177" s="422"/>
      <c r="AA177" s="422"/>
      <c r="AB177" s="422"/>
      <c r="AC177" s="422"/>
      <c r="AD177" s="422"/>
      <c r="AE177" s="422"/>
      <c r="AF177" s="422"/>
      <c r="AG177" s="422"/>
      <c r="AH177" s="422"/>
      <c r="AI177" s="422"/>
      <c r="AJ177" s="422"/>
      <c r="AK177" s="422"/>
      <c r="AL177" s="422"/>
    </row>
    <row r="178" spans="1:38" ht="12.75">
      <c r="A178" s="422"/>
      <c r="B178" s="422"/>
      <c r="C178" s="422"/>
      <c r="D178" s="422"/>
      <c r="E178" s="422"/>
      <c r="F178" s="422"/>
      <c r="G178" s="422"/>
      <c r="H178" s="422"/>
      <c r="I178" s="422"/>
      <c r="J178" s="422"/>
      <c r="K178" s="422"/>
      <c r="L178" s="422"/>
      <c r="M178" s="422"/>
      <c r="N178" s="422"/>
      <c r="O178" s="422"/>
      <c r="P178" s="422"/>
      <c r="Q178" s="422"/>
      <c r="R178" s="422"/>
      <c r="S178" s="422"/>
      <c r="T178" s="422"/>
      <c r="U178" s="422"/>
      <c r="V178" s="422"/>
      <c r="W178" s="422"/>
      <c r="X178" s="422"/>
      <c r="Y178" s="422"/>
      <c r="Z178" s="422"/>
      <c r="AA178" s="422"/>
      <c r="AB178" s="422"/>
      <c r="AC178" s="422"/>
      <c r="AD178" s="422"/>
      <c r="AE178" s="422"/>
      <c r="AF178" s="422"/>
      <c r="AG178" s="422"/>
      <c r="AH178" s="422"/>
      <c r="AI178" s="422"/>
      <c r="AJ178" s="422"/>
      <c r="AK178" s="422"/>
      <c r="AL178" s="422"/>
    </row>
    <row r="179" spans="1:38" ht="12.75">
      <c r="A179" s="422"/>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row>
    <row r="180" spans="1:38" ht="12.75">
      <c r="A180" s="422"/>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c r="AI180" s="422"/>
      <c r="AJ180" s="422"/>
      <c r="AK180" s="422"/>
      <c r="AL180" s="422"/>
    </row>
    <row r="181" spans="1:38" ht="12.75">
      <c r="A181" s="422"/>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c r="AL181" s="422"/>
    </row>
    <row r="182" spans="1:38" ht="12.75">
      <c r="A182" s="422"/>
      <c r="B182" s="422"/>
      <c r="C182" s="422"/>
      <c r="D182" s="422"/>
      <c r="E182" s="422"/>
      <c r="F182" s="422"/>
      <c r="G182" s="422"/>
      <c r="H182" s="422"/>
      <c r="I182" s="422"/>
      <c r="J182" s="422"/>
      <c r="K182" s="422"/>
      <c r="L182" s="422"/>
      <c r="M182" s="422"/>
      <c r="N182" s="422"/>
      <c r="O182" s="422"/>
      <c r="P182" s="422"/>
      <c r="Q182" s="422"/>
      <c r="R182" s="422"/>
      <c r="S182" s="422"/>
      <c r="T182" s="422"/>
      <c r="U182" s="422"/>
      <c r="V182" s="422"/>
      <c r="W182" s="422"/>
      <c r="X182" s="422"/>
      <c r="Y182" s="422"/>
      <c r="Z182" s="422"/>
      <c r="AA182" s="422"/>
      <c r="AB182" s="422"/>
      <c r="AC182" s="422"/>
      <c r="AD182" s="422"/>
      <c r="AE182" s="422"/>
      <c r="AF182" s="422"/>
      <c r="AG182" s="422"/>
      <c r="AH182" s="422"/>
      <c r="AI182" s="422"/>
      <c r="AJ182" s="422"/>
      <c r="AK182" s="422"/>
      <c r="AL182" s="422"/>
    </row>
    <row r="183" spans="1:38" ht="12.75">
      <c r="A183" s="422"/>
      <c r="B183" s="422"/>
      <c r="C183" s="422"/>
      <c r="D183" s="422"/>
      <c r="E183" s="422"/>
      <c r="F183" s="422"/>
      <c r="G183" s="422"/>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c r="AI183" s="422"/>
      <c r="AJ183" s="422"/>
      <c r="AK183" s="422"/>
      <c r="AL183" s="422"/>
    </row>
    <row r="184" spans="1:38" ht="12.75">
      <c r="A184" s="422"/>
      <c r="B184" s="422"/>
      <c r="C184" s="422"/>
      <c r="D184" s="422"/>
      <c r="E184" s="422"/>
      <c r="F184" s="422"/>
      <c r="G184" s="422"/>
      <c r="H184" s="422"/>
      <c r="I184" s="422"/>
      <c r="J184" s="422"/>
      <c r="K184" s="422"/>
      <c r="L184" s="422"/>
      <c r="M184" s="422"/>
      <c r="N184" s="422"/>
      <c r="O184" s="422"/>
      <c r="P184" s="422"/>
      <c r="Q184" s="422"/>
      <c r="R184" s="422"/>
      <c r="S184" s="422"/>
      <c r="T184" s="422"/>
      <c r="U184" s="422"/>
      <c r="V184" s="422"/>
      <c r="W184" s="422"/>
      <c r="X184" s="422"/>
      <c r="Y184" s="422"/>
      <c r="Z184" s="422"/>
      <c r="AA184" s="422"/>
      <c r="AB184" s="422"/>
      <c r="AC184" s="422"/>
      <c r="AD184" s="422"/>
      <c r="AE184" s="422"/>
      <c r="AF184" s="422"/>
      <c r="AG184" s="422"/>
      <c r="AH184" s="422"/>
      <c r="AI184" s="422"/>
      <c r="AJ184" s="422"/>
      <c r="AK184" s="422"/>
      <c r="AL184" s="422"/>
    </row>
    <row r="185" spans="1:38" ht="12.75">
      <c r="A185" s="422"/>
      <c r="B185" s="422"/>
      <c r="C185" s="422"/>
      <c r="D185" s="422"/>
      <c r="E185" s="422"/>
      <c r="F185" s="422"/>
      <c r="G185" s="422"/>
      <c r="H185" s="422"/>
      <c r="I185" s="422"/>
      <c r="J185" s="422"/>
      <c r="K185" s="422"/>
      <c r="L185" s="422"/>
      <c r="M185" s="422"/>
      <c r="N185" s="422"/>
      <c r="O185" s="422"/>
      <c r="P185" s="422"/>
      <c r="Q185" s="422"/>
      <c r="R185" s="422"/>
      <c r="S185" s="422"/>
      <c r="T185" s="422"/>
      <c r="U185" s="422"/>
      <c r="V185" s="422"/>
      <c r="W185" s="422"/>
      <c r="X185" s="422"/>
      <c r="Y185" s="422"/>
      <c r="Z185" s="422"/>
      <c r="AA185" s="422"/>
      <c r="AB185" s="422"/>
      <c r="AC185" s="422"/>
      <c r="AD185" s="422"/>
      <c r="AE185" s="422"/>
      <c r="AF185" s="422"/>
      <c r="AG185" s="422"/>
      <c r="AH185" s="422"/>
      <c r="AI185" s="422"/>
      <c r="AJ185" s="422"/>
      <c r="AK185" s="422"/>
      <c r="AL185" s="422"/>
    </row>
    <row r="186" spans="1:38" ht="12.75">
      <c r="A186" s="422"/>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422"/>
      <c r="AE186" s="422"/>
      <c r="AF186" s="422"/>
      <c r="AG186" s="422"/>
      <c r="AH186" s="422"/>
      <c r="AI186" s="422"/>
      <c r="AJ186" s="422"/>
      <c r="AK186" s="422"/>
      <c r="AL186" s="422"/>
    </row>
    <row r="187" spans="1:38" ht="12.75">
      <c r="A187" s="422"/>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row>
    <row r="188" spans="1:38" ht="12.75">
      <c r="A188" s="422"/>
      <c r="B188" s="422"/>
      <c r="C188" s="422"/>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row>
    <row r="189" spans="1:38" ht="12.75">
      <c r="A189" s="422"/>
      <c r="B189" s="422"/>
      <c r="C189" s="422"/>
      <c r="D189" s="422"/>
      <c r="E189" s="422"/>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row>
    <row r="190" spans="1:38" ht="12.75">
      <c r="A190" s="422"/>
      <c r="B190" s="422"/>
      <c r="C190" s="422"/>
      <c r="D190" s="422"/>
      <c r="E190" s="422"/>
      <c r="F190" s="422"/>
      <c r="G190" s="422"/>
      <c r="H190" s="422"/>
      <c r="I190" s="422"/>
      <c r="J190" s="422"/>
      <c r="K190" s="422"/>
      <c r="L190" s="422"/>
      <c r="M190" s="422"/>
      <c r="N190" s="422"/>
      <c r="O190" s="422"/>
      <c r="P190" s="422"/>
      <c r="Q190" s="422"/>
      <c r="R190" s="422"/>
      <c r="S190" s="422"/>
      <c r="T190" s="422"/>
      <c r="U190" s="422"/>
      <c r="V190" s="422"/>
      <c r="W190" s="422"/>
      <c r="X190" s="422"/>
      <c r="Y190" s="422"/>
      <c r="Z190" s="422"/>
      <c r="AA190" s="422"/>
      <c r="AB190" s="422"/>
      <c r="AC190" s="422"/>
      <c r="AD190" s="422"/>
      <c r="AE190" s="422"/>
      <c r="AF190" s="422"/>
      <c r="AG190" s="422"/>
      <c r="AH190" s="422"/>
      <c r="AI190" s="422"/>
      <c r="AJ190" s="422"/>
      <c r="AK190" s="422"/>
      <c r="AL190" s="422"/>
    </row>
    <row r="191" spans="1:38" ht="12.75">
      <c r="A191" s="422"/>
      <c r="B191" s="422"/>
      <c r="C191" s="422"/>
      <c r="D191" s="422"/>
      <c r="E191" s="422"/>
      <c r="F191" s="422"/>
      <c r="G191" s="422"/>
      <c r="H191" s="422"/>
      <c r="I191" s="422"/>
      <c r="J191" s="422"/>
      <c r="K191" s="422"/>
      <c r="L191" s="422"/>
      <c r="M191" s="422"/>
      <c r="N191" s="422"/>
      <c r="O191" s="422"/>
      <c r="P191" s="422"/>
      <c r="Q191" s="422"/>
      <c r="R191" s="422"/>
      <c r="S191" s="422"/>
      <c r="T191" s="422"/>
      <c r="U191" s="422"/>
      <c r="V191" s="422"/>
      <c r="W191" s="422"/>
      <c r="X191" s="422"/>
      <c r="Y191" s="422"/>
      <c r="Z191" s="422"/>
      <c r="AA191" s="422"/>
      <c r="AB191" s="422"/>
      <c r="AC191" s="422"/>
      <c r="AD191" s="422"/>
      <c r="AE191" s="422"/>
      <c r="AF191" s="422"/>
      <c r="AG191" s="422"/>
      <c r="AH191" s="422"/>
      <c r="AI191" s="422"/>
      <c r="AJ191" s="422"/>
      <c r="AK191" s="422"/>
      <c r="AL191" s="422"/>
    </row>
    <row r="192" spans="1:38" ht="12.75">
      <c r="A192" s="422"/>
      <c r="B192" s="422"/>
      <c r="C192" s="422"/>
      <c r="D192" s="422"/>
      <c r="E192" s="422"/>
      <c r="F192" s="422"/>
      <c r="G192" s="422"/>
      <c r="H192" s="422"/>
      <c r="I192" s="422"/>
      <c r="J192" s="422"/>
      <c r="K192" s="422"/>
      <c r="L192" s="422"/>
      <c r="M192" s="422"/>
      <c r="N192" s="422"/>
      <c r="O192" s="422"/>
      <c r="P192" s="422"/>
      <c r="Q192" s="422"/>
      <c r="R192" s="422"/>
      <c r="S192" s="422"/>
      <c r="T192" s="422"/>
      <c r="U192" s="422"/>
      <c r="V192" s="422"/>
      <c r="W192" s="422"/>
      <c r="X192" s="422"/>
      <c r="Y192" s="422"/>
      <c r="Z192" s="422"/>
      <c r="AA192" s="422"/>
      <c r="AB192" s="422"/>
      <c r="AC192" s="422"/>
      <c r="AD192" s="422"/>
      <c r="AE192" s="422"/>
      <c r="AF192" s="422"/>
      <c r="AG192" s="422"/>
      <c r="AH192" s="422"/>
      <c r="AI192" s="422"/>
      <c r="AJ192" s="422"/>
      <c r="AK192" s="422"/>
      <c r="AL192" s="422"/>
    </row>
    <row r="193" spans="1:38" ht="12.75">
      <c r="A193" s="422"/>
      <c r="B193" s="422"/>
      <c r="C193" s="422"/>
      <c r="D193" s="422"/>
      <c r="E193" s="422"/>
      <c r="F193" s="422"/>
      <c r="G193" s="422"/>
      <c r="H193" s="422"/>
      <c r="I193" s="422"/>
      <c r="J193" s="422"/>
      <c r="K193" s="422"/>
      <c r="L193" s="422"/>
      <c r="M193" s="422"/>
      <c r="N193" s="422"/>
      <c r="O193" s="422"/>
      <c r="P193" s="422"/>
      <c r="Q193" s="422"/>
      <c r="R193" s="422"/>
      <c r="S193" s="422"/>
      <c r="T193" s="422"/>
      <c r="U193" s="422"/>
      <c r="V193" s="422"/>
      <c r="W193" s="422"/>
      <c r="X193" s="422"/>
      <c r="Y193" s="422"/>
      <c r="Z193" s="422"/>
      <c r="AA193" s="422"/>
      <c r="AB193" s="422"/>
      <c r="AC193" s="422"/>
      <c r="AD193" s="422"/>
      <c r="AE193" s="422"/>
      <c r="AF193" s="422"/>
      <c r="AG193" s="422"/>
      <c r="AH193" s="422"/>
      <c r="AI193" s="422"/>
      <c r="AJ193" s="422"/>
      <c r="AK193" s="422"/>
      <c r="AL193" s="422"/>
    </row>
    <row r="194" spans="1:38" ht="12.75">
      <c r="A194" s="422"/>
      <c r="B194" s="422"/>
      <c r="C194" s="422"/>
      <c r="D194" s="422"/>
      <c r="E194" s="422"/>
      <c r="F194" s="422"/>
      <c r="G194" s="422"/>
      <c r="H194" s="422"/>
      <c r="I194" s="422"/>
      <c r="J194" s="422"/>
      <c r="K194" s="422"/>
      <c r="L194" s="422"/>
      <c r="M194" s="422"/>
      <c r="N194" s="422"/>
      <c r="O194" s="422"/>
      <c r="P194" s="422"/>
      <c r="Q194" s="422"/>
      <c r="R194" s="422"/>
      <c r="S194" s="422"/>
      <c r="T194" s="422"/>
      <c r="U194" s="422"/>
      <c r="V194" s="422"/>
      <c r="W194" s="422"/>
      <c r="X194" s="422"/>
      <c r="Y194" s="422"/>
      <c r="Z194" s="422"/>
      <c r="AA194" s="422"/>
      <c r="AB194" s="422"/>
      <c r="AC194" s="422"/>
      <c r="AD194" s="422"/>
      <c r="AE194" s="422"/>
      <c r="AF194" s="422"/>
      <c r="AG194" s="422"/>
      <c r="AH194" s="422"/>
      <c r="AI194" s="422"/>
      <c r="AJ194" s="422"/>
      <c r="AK194" s="422"/>
      <c r="AL194" s="422"/>
    </row>
    <row r="195" spans="1:38" ht="12.75">
      <c r="A195" s="422"/>
      <c r="B195" s="422"/>
      <c r="C195" s="422"/>
      <c r="D195" s="422"/>
      <c r="E195" s="422"/>
      <c r="F195" s="422"/>
      <c r="G195" s="422"/>
      <c r="H195" s="422"/>
      <c r="I195" s="422"/>
      <c r="J195" s="422"/>
      <c r="K195" s="422"/>
      <c r="L195" s="422"/>
      <c r="M195" s="422"/>
      <c r="N195" s="422"/>
      <c r="O195" s="422"/>
      <c r="P195" s="422"/>
      <c r="Q195" s="422"/>
      <c r="R195" s="422"/>
      <c r="S195" s="422"/>
      <c r="T195" s="422"/>
      <c r="U195" s="422"/>
      <c r="V195" s="422"/>
      <c r="W195" s="422"/>
      <c r="X195" s="422"/>
      <c r="Y195" s="422"/>
      <c r="Z195" s="422"/>
      <c r="AA195" s="422"/>
      <c r="AB195" s="422"/>
      <c r="AC195" s="422"/>
      <c r="AD195" s="422"/>
      <c r="AE195" s="422"/>
      <c r="AF195" s="422"/>
      <c r="AG195" s="422"/>
      <c r="AH195" s="422"/>
      <c r="AI195" s="422"/>
      <c r="AJ195" s="422"/>
      <c r="AK195" s="422"/>
      <c r="AL195" s="422"/>
    </row>
    <row r="196" spans="1:38" ht="12.75">
      <c r="A196" s="422"/>
      <c r="B196" s="422"/>
      <c r="C196" s="422"/>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422"/>
      <c r="AD196" s="422"/>
      <c r="AE196" s="422"/>
      <c r="AF196" s="422"/>
      <c r="AG196" s="422"/>
      <c r="AH196" s="422"/>
      <c r="AI196" s="422"/>
      <c r="AJ196" s="422"/>
      <c r="AK196" s="422"/>
      <c r="AL196" s="422"/>
    </row>
    <row r="197" spans="1:38" ht="12.75">
      <c r="A197" s="422"/>
      <c r="B197" s="422"/>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422"/>
      <c r="AE197" s="422"/>
      <c r="AF197" s="422"/>
      <c r="AG197" s="422"/>
      <c r="AH197" s="422"/>
      <c r="AI197" s="422"/>
      <c r="AJ197" s="422"/>
      <c r="AK197" s="422"/>
      <c r="AL197" s="422"/>
    </row>
    <row r="198" spans="1:38" ht="12.75">
      <c r="A198" s="422"/>
      <c r="B198" s="422"/>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422"/>
      <c r="AE198" s="422"/>
      <c r="AF198" s="422"/>
      <c r="AG198" s="422"/>
      <c r="AH198" s="422"/>
      <c r="AI198" s="422"/>
      <c r="AJ198" s="422"/>
      <c r="AK198" s="422"/>
      <c r="AL198" s="422"/>
    </row>
    <row r="199" spans="1:38" ht="12.75">
      <c r="A199" s="422"/>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422"/>
      <c r="AE199" s="422"/>
      <c r="AF199" s="422"/>
      <c r="AG199" s="422"/>
      <c r="AH199" s="422"/>
      <c r="AI199" s="422"/>
      <c r="AJ199" s="422"/>
      <c r="AK199" s="422"/>
      <c r="AL199" s="422"/>
    </row>
    <row r="200" spans="1:38" ht="12.75">
      <c r="A200" s="422"/>
      <c r="B200" s="422"/>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422"/>
      <c r="Z200" s="422"/>
      <c r="AA200" s="422"/>
      <c r="AB200" s="422"/>
      <c r="AC200" s="422"/>
      <c r="AD200" s="422"/>
      <c r="AE200" s="422"/>
      <c r="AF200" s="422"/>
      <c r="AG200" s="422"/>
      <c r="AH200" s="422"/>
      <c r="AI200" s="422"/>
      <c r="AJ200" s="422"/>
      <c r="AK200" s="422"/>
      <c r="AL200" s="422"/>
    </row>
    <row r="201" spans="1:38" ht="12.75">
      <c r="A201" s="422"/>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422"/>
      <c r="AE201" s="422"/>
      <c r="AF201" s="422"/>
      <c r="AG201" s="422"/>
      <c r="AH201" s="422"/>
      <c r="AI201" s="422"/>
      <c r="AJ201" s="422"/>
      <c r="AK201" s="422"/>
      <c r="AL201" s="422"/>
    </row>
    <row r="202" spans="1:38" ht="12.75">
      <c r="A202" s="422"/>
      <c r="B202" s="422"/>
      <c r="C202" s="422"/>
      <c r="D202" s="422"/>
      <c r="E202" s="422"/>
      <c r="F202" s="422"/>
      <c r="G202" s="422"/>
      <c r="H202" s="422"/>
      <c r="I202" s="422"/>
      <c r="J202" s="422"/>
      <c r="K202" s="422"/>
      <c r="L202" s="422"/>
      <c r="M202" s="422"/>
      <c r="N202" s="422"/>
      <c r="O202" s="422"/>
      <c r="P202" s="422"/>
      <c r="Q202" s="422"/>
      <c r="R202" s="422"/>
      <c r="S202" s="422"/>
      <c r="T202" s="422"/>
      <c r="U202" s="422"/>
      <c r="V202" s="422"/>
      <c r="W202" s="422"/>
      <c r="X202" s="422"/>
      <c r="Y202" s="422"/>
      <c r="Z202" s="422"/>
      <c r="AA202" s="422"/>
      <c r="AB202" s="422"/>
      <c r="AC202" s="422"/>
      <c r="AD202" s="422"/>
      <c r="AE202" s="422"/>
      <c r="AF202" s="422"/>
      <c r="AG202" s="422"/>
      <c r="AH202" s="422"/>
      <c r="AI202" s="422"/>
      <c r="AJ202" s="422"/>
      <c r="AK202" s="422"/>
      <c r="AL202" s="422"/>
    </row>
    <row r="203" spans="1:38" ht="12.75">
      <c r="A203" s="422"/>
      <c r="B203" s="422"/>
      <c r="C203" s="422"/>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422"/>
      <c r="Z203" s="422"/>
      <c r="AA203" s="422"/>
      <c r="AB203" s="422"/>
      <c r="AC203" s="422"/>
      <c r="AD203" s="422"/>
      <c r="AE203" s="422"/>
      <c r="AF203" s="422"/>
      <c r="AG203" s="422"/>
      <c r="AH203" s="422"/>
      <c r="AI203" s="422"/>
      <c r="AJ203" s="422"/>
      <c r="AK203" s="422"/>
      <c r="AL203" s="422"/>
    </row>
    <row r="204" spans="1:38" ht="12.75">
      <c r="A204" s="422"/>
      <c r="B204" s="422"/>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22"/>
      <c r="AC204" s="422"/>
      <c r="AD204" s="422"/>
      <c r="AE204" s="422"/>
      <c r="AF204" s="422"/>
      <c r="AG204" s="422"/>
      <c r="AH204" s="422"/>
      <c r="AI204" s="422"/>
      <c r="AJ204" s="422"/>
      <c r="AK204" s="422"/>
      <c r="AL204" s="422"/>
    </row>
    <row r="205" spans="1:38" ht="12.75">
      <c r="A205" s="422"/>
      <c r="B205" s="422"/>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422"/>
      <c r="AE205" s="422"/>
      <c r="AF205" s="422"/>
      <c r="AG205" s="422"/>
      <c r="AH205" s="422"/>
      <c r="AI205" s="422"/>
      <c r="AJ205" s="422"/>
      <c r="AK205" s="422"/>
      <c r="AL205" s="422"/>
    </row>
    <row r="206" spans="1:38" ht="12.75">
      <c r="A206" s="422"/>
      <c r="B206" s="422"/>
      <c r="C206" s="422"/>
      <c r="D206" s="422"/>
      <c r="E206" s="422"/>
      <c r="F206" s="422"/>
      <c r="G206" s="422"/>
      <c r="H206" s="422"/>
      <c r="I206" s="422"/>
      <c r="J206" s="422"/>
      <c r="K206" s="422"/>
      <c r="L206" s="422"/>
      <c r="M206" s="422"/>
      <c r="N206" s="422"/>
      <c r="O206" s="422"/>
      <c r="P206" s="422"/>
      <c r="Q206" s="422"/>
      <c r="R206" s="422"/>
      <c r="S206" s="422"/>
      <c r="T206" s="422"/>
      <c r="U206" s="422"/>
      <c r="V206" s="422"/>
      <c r="W206" s="422"/>
      <c r="X206" s="422"/>
      <c r="Y206" s="422"/>
      <c r="Z206" s="422"/>
      <c r="AA206" s="422"/>
      <c r="AB206" s="422"/>
      <c r="AC206" s="422"/>
      <c r="AD206" s="422"/>
      <c r="AE206" s="422"/>
      <c r="AF206" s="422"/>
      <c r="AG206" s="422"/>
      <c r="AH206" s="422"/>
      <c r="AI206" s="422"/>
      <c r="AJ206" s="422"/>
      <c r="AK206" s="422"/>
      <c r="AL206" s="422"/>
    </row>
    <row r="207" spans="1:38" ht="12.75">
      <c r="A207" s="422"/>
      <c r="B207" s="422"/>
      <c r="C207" s="422"/>
      <c r="D207" s="422"/>
      <c r="E207" s="422"/>
      <c r="F207" s="422"/>
      <c r="G207" s="422"/>
      <c r="H207" s="422"/>
      <c r="I207" s="422"/>
      <c r="J207" s="422"/>
      <c r="K207" s="422"/>
      <c r="L207" s="422"/>
      <c r="M207" s="422"/>
      <c r="N207" s="422"/>
      <c r="O207" s="422"/>
      <c r="P207" s="422"/>
      <c r="Q207" s="422"/>
      <c r="R207" s="422"/>
      <c r="S207" s="422"/>
      <c r="T207" s="422"/>
      <c r="U207" s="422"/>
      <c r="V207" s="422"/>
      <c r="W207" s="422"/>
      <c r="X207" s="422"/>
      <c r="Y207" s="422"/>
      <c r="Z207" s="422"/>
      <c r="AA207" s="422"/>
      <c r="AB207" s="422"/>
      <c r="AC207" s="422"/>
      <c r="AD207" s="422"/>
      <c r="AE207" s="422"/>
      <c r="AF207" s="422"/>
      <c r="AG207" s="422"/>
      <c r="AH207" s="422"/>
      <c r="AI207" s="422"/>
      <c r="AJ207" s="422"/>
      <c r="AK207" s="422"/>
      <c r="AL207" s="422"/>
    </row>
    <row r="208" spans="1:38" ht="12.75">
      <c r="A208" s="422"/>
      <c r="B208" s="422"/>
      <c r="C208" s="422"/>
      <c r="D208" s="422"/>
      <c r="E208" s="422"/>
      <c r="F208" s="422"/>
      <c r="G208" s="422"/>
      <c r="H208" s="422"/>
      <c r="I208" s="422"/>
      <c r="J208" s="422"/>
      <c r="K208" s="422"/>
      <c r="L208" s="422"/>
      <c r="M208" s="422"/>
      <c r="N208" s="422"/>
      <c r="O208" s="422"/>
      <c r="P208" s="422"/>
      <c r="Q208" s="422"/>
      <c r="R208" s="422"/>
      <c r="S208" s="422"/>
      <c r="T208" s="422"/>
      <c r="U208" s="422"/>
      <c r="V208" s="422"/>
      <c r="W208" s="422"/>
      <c r="X208" s="422"/>
      <c r="Y208" s="422"/>
      <c r="Z208" s="422"/>
      <c r="AA208" s="422"/>
      <c r="AB208" s="422"/>
      <c r="AC208" s="422"/>
      <c r="AD208" s="422"/>
      <c r="AE208" s="422"/>
      <c r="AF208" s="422"/>
      <c r="AG208" s="422"/>
      <c r="AH208" s="422"/>
      <c r="AI208" s="422"/>
      <c r="AJ208" s="422"/>
      <c r="AK208" s="422"/>
      <c r="AL208" s="422"/>
    </row>
    <row r="209" spans="1:38" ht="12.75">
      <c r="A209" s="422"/>
      <c r="B209" s="422"/>
      <c r="C209" s="422"/>
      <c r="D209" s="422"/>
      <c r="E209" s="422"/>
      <c r="F209" s="422"/>
      <c r="G209" s="422"/>
      <c r="H209" s="422"/>
      <c r="I209" s="422"/>
      <c r="J209" s="422"/>
      <c r="K209" s="422"/>
      <c r="L209" s="422"/>
      <c r="M209" s="422"/>
      <c r="N209" s="422"/>
      <c r="O209" s="422"/>
      <c r="P209" s="422"/>
      <c r="Q209" s="422"/>
      <c r="R209" s="422"/>
      <c r="S209" s="422"/>
      <c r="T209" s="422"/>
      <c r="U209" s="422"/>
      <c r="V209" s="422"/>
      <c r="W209" s="422"/>
      <c r="X209" s="422"/>
      <c r="Y209" s="422"/>
      <c r="Z209" s="422"/>
      <c r="AA209" s="422"/>
      <c r="AB209" s="422"/>
      <c r="AC209" s="422"/>
      <c r="AD209" s="422"/>
      <c r="AE209" s="422"/>
      <c r="AF209" s="422"/>
      <c r="AG209" s="422"/>
      <c r="AH209" s="422"/>
      <c r="AI209" s="422"/>
      <c r="AJ209" s="422"/>
      <c r="AK209" s="422"/>
      <c r="AL209" s="422"/>
    </row>
    <row r="210" spans="1:38" ht="12.75">
      <c r="A210" s="422"/>
      <c r="B210" s="422"/>
      <c r="C210" s="422"/>
      <c r="D210" s="422"/>
      <c r="E210" s="422"/>
      <c r="F210" s="422"/>
      <c r="G210" s="422"/>
      <c r="H210" s="422"/>
      <c r="I210" s="422"/>
      <c r="J210" s="422"/>
      <c r="K210" s="422"/>
      <c r="L210" s="422"/>
      <c r="M210" s="422"/>
      <c r="N210" s="422"/>
      <c r="O210" s="422"/>
      <c r="P210" s="422"/>
      <c r="Q210" s="422"/>
      <c r="R210" s="422"/>
      <c r="S210" s="422"/>
      <c r="T210" s="422"/>
      <c r="U210" s="422"/>
      <c r="V210" s="422"/>
      <c r="W210" s="422"/>
      <c r="X210" s="422"/>
      <c r="Y210" s="422"/>
      <c r="Z210" s="422"/>
      <c r="AA210" s="422"/>
      <c r="AB210" s="422"/>
      <c r="AC210" s="422"/>
      <c r="AD210" s="422"/>
      <c r="AE210" s="422"/>
      <c r="AF210" s="422"/>
      <c r="AG210" s="422"/>
      <c r="AH210" s="422"/>
      <c r="AI210" s="422"/>
      <c r="AJ210" s="422"/>
      <c r="AK210" s="422"/>
      <c r="AL210" s="422"/>
    </row>
    <row r="211" spans="1:38" ht="12.75">
      <c r="A211" s="422"/>
      <c r="B211" s="422"/>
      <c r="C211" s="422"/>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422"/>
      <c r="AE211" s="422"/>
      <c r="AF211" s="422"/>
      <c r="AG211" s="422"/>
      <c r="AH211" s="422"/>
      <c r="AI211" s="422"/>
      <c r="AJ211" s="422"/>
      <c r="AK211" s="422"/>
      <c r="AL211" s="422"/>
    </row>
    <row r="212" spans="1:38" ht="12.75">
      <c r="A212" s="422"/>
      <c r="B212" s="422"/>
      <c r="C212" s="422"/>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2"/>
      <c r="Z212" s="422"/>
      <c r="AA212" s="422"/>
      <c r="AB212" s="422"/>
      <c r="AC212" s="422"/>
      <c r="AD212" s="422"/>
      <c r="AE212" s="422"/>
      <c r="AF212" s="422"/>
      <c r="AG212" s="422"/>
      <c r="AH212" s="422"/>
      <c r="AI212" s="422"/>
      <c r="AJ212" s="422"/>
      <c r="AK212" s="422"/>
      <c r="AL212" s="422"/>
    </row>
    <row r="213" spans="1:38" ht="12.75">
      <c r="A213" s="422"/>
      <c r="B213" s="422"/>
      <c r="C213" s="422"/>
      <c r="D213" s="422"/>
      <c r="E213" s="422"/>
      <c r="F213" s="422"/>
      <c r="G213" s="422"/>
      <c r="H213" s="422"/>
      <c r="I213" s="422"/>
      <c r="J213" s="422"/>
      <c r="K213" s="422"/>
      <c r="L213" s="422"/>
      <c r="M213" s="422"/>
      <c r="N213" s="422"/>
      <c r="O213" s="422"/>
      <c r="P213" s="422"/>
      <c r="Q213" s="422"/>
      <c r="R213" s="422"/>
      <c r="S213" s="422"/>
      <c r="T213" s="422"/>
      <c r="U213" s="422"/>
      <c r="V213" s="422"/>
      <c r="W213" s="422"/>
      <c r="X213" s="422"/>
      <c r="Y213" s="422"/>
      <c r="Z213" s="422"/>
      <c r="AA213" s="422"/>
      <c r="AB213" s="422"/>
      <c r="AC213" s="422"/>
      <c r="AD213" s="422"/>
      <c r="AE213" s="422"/>
      <c r="AF213" s="422"/>
      <c r="AG213" s="422"/>
      <c r="AH213" s="422"/>
      <c r="AI213" s="422"/>
      <c r="AJ213" s="422"/>
      <c r="AK213" s="422"/>
      <c r="AL213" s="422"/>
    </row>
    <row r="214" spans="1:38" ht="12.75">
      <c r="A214" s="422"/>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row>
    <row r="215" spans="1:38" ht="12.75">
      <c r="A215" s="422"/>
      <c r="B215" s="422"/>
      <c r="C215" s="422"/>
      <c r="D215" s="422"/>
      <c r="E215" s="422"/>
      <c r="F215" s="422"/>
      <c r="G215" s="422"/>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row>
  </sheetData>
  <mergeCells count="4">
    <mergeCell ref="H10:H12"/>
    <mergeCell ref="D10:D12"/>
    <mergeCell ref="A10:A12"/>
    <mergeCell ref="B10:B12"/>
  </mergeCells>
  <printOptions horizontalCentered="1"/>
  <pageMargins left="0" right="0" top="0.984251968503937" bottom="0.984251968503937" header="0.5118110236220472" footer="0.5118110236220472"/>
  <pageSetup horizontalDpi="300" verticalDpi="300" orientation="landscape" paperSize="9" scale="90" r:id="rId1"/>
  <headerFooter alignWithMargins="0">
    <oddHeader xml:space="preserve">&amp;R&amp;"Arial CE,Tučné"&amp;11Příloha č. 8&amp;"Arial CE,Obyčejné"&amp;10
       </oddHeader>
    <oddFooter>&amp;C28</oddFooter>
  </headerFooter>
</worksheet>
</file>

<file path=xl/worksheets/sheet12.xml><?xml version="1.0" encoding="utf-8"?>
<worksheet xmlns="http://schemas.openxmlformats.org/spreadsheetml/2006/main" xmlns:r="http://schemas.openxmlformats.org/officeDocument/2006/relationships">
  <dimension ref="A1:Q101"/>
  <sheetViews>
    <sheetView workbookViewId="0" topLeftCell="A10">
      <selection activeCell="D28" sqref="D28"/>
    </sheetView>
  </sheetViews>
  <sheetFormatPr defaultColWidth="9.00390625" defaultRowHeight="12.75"/>
  <cols>
    <col min="1" max="1" width="12.375" style="0" customWidth="1"/>
    <col min="2" max="2" width="26.875" style="0" customWidth="1"/>
    <col min="3" max="3" width="17.375" style="0" customWidth="1"/>
    <col min="4" max="4" width="7.25390625" style="0" customWidth="1"/>
    <col min="5" max="5" width="19.375" style="0" customWidth="1"/>
    <col min="6" max="6" width="12.375" style="0" customWidth="1"/>
    <col min="7" max="7" width="10.00390625" style="0" customWidth="1"/>
    <col min="8" max="8" width="15.75390625" style="0" customWidth="1"/>
    <col min="9" max="9" width="2.00390625" style="0" customWidth="1"/>
    <col min="10" max="10" width="21.75390625" style="0" customWidth="1"/>
    <col min="11" max="12" width="13.875" style="0" customWidth="1"/>
    <col min="13" max="13" width="14.25390625" style="0" customWidth="1"/>
    <col min="14" max="14" width="13.875" style="0" customWidth="1"/>
    <col min="15" max="15" width="9.625" style="0" customWidth="1"/>
    <col min="16" max="16" width="16.25390625" style="0" customWidth="1"/>
    <col min="17" max="17" width="22.625" style="0" customWidth="1"/>
  </cols>
  <sheetData>
    <row r="1" spans="8:17" ht="12.75">
      <c r="H1" s="585" t="s">
        <v>130</v>
      </c>
      <c r="I1" s="585"/>
      <c r="Q1" s="585" t="s">
        <v>131</v>
      </c>
    </row>
    <row r="3" spans="1:10" ht="12.75">
      <c r="A3" t="s">
        <v>132</v>
      </c>
      <c r="J3" t="s">
        <v>132</v>
      </c>
    </row>
    <row r="5" spans="1:10" ht="12.75">
      <c r="A5" t="s">
        <v>133</v>
      </c>
      <c r="J5" t="s">
        <v>134</v>
      </c>
    </row>
    <row r="8" spans="8:17" ht="13.5" thickBot="1">
      <c r="H8" s="585" t="s">
        <v>135</v>
      </c>
      <c r="I8" s="585"/>
      <c r="Q8" s="585" t="s">
        <v>136</v>
      </c>
    </row>
    <row r="9" spans="1:17" ht="12.75">
      <c r="A9" s="613"/>
      <c r="B9" s="614"/>
      <c r="C9" s="614"/>
      <c r="D9" s="614"/>
      <c r="E9" s="614"/>
      <c r="F9" s="614" t="s">
        <v>137</v>
      </c>
      <c r="G9" s="614" t="s">
        <v>138</v>
      </c>
      <c r="H9" s="615"/>
      <c r="I9" s="616"/>
      <c r="J9" s="613"/>
      <c r="K9" s="614"/>
      <c r="L9" s="614"/>
      <c r="M9" s="614"/>
      <c r="N9" s="614"/>
      <c r="O9" s="614" t="s">
        <v>139</v>
      </c>
      <c r="P9" s="614"/>
      <c r="Q9" s="615"/>
    </row>
    <row r="10" spans="1:17" ht="12.75">
      <c r="A10" s="617" t="s">
        <v>140</v>
      </c>
      <c r="B10" s="618" t="s">
        <v>141</v>
      </c>
      <c r="C10" s="618" t="s">
        <v>142</v>
      </c>
      <c r="D10" s="618" t="s">
        <v>143</v>
      </c>
      <c r="E10" s="618" t="s">
        <v>144</v>
      </c>
      <c r="F10" s="618" t="s">
        <v>145</v>
      </c>
      <c r="G10" s="618" t="s">
        <v>146</v>
      </c>
      <c r="H10" s="619" t="s">
        <v>147</v>
      </c>
      <c r="I10" s="616"/>
      <c r="J10" s="617" t="s">
        <v>140</v>
      </c>
      <c r="K10" s="618" t="s">
        <v>148</v>
      </c>
      <c r="L10" s="618" t="s">
        <v>149</v>
      </c>
      <c r="M10" s="618" t="s">
        <v>150</v>
      </c>
      <c r="N10" s="618" t="s">
        <v>151</v>
      </c>
      <c r="O10" s="618" t="s">
        <v>152</v>
      </c>
      <c r="P10" s="618" t="s">
        <v>153</v>
      </c>
      <c r="Q10" s="619" t="s">
        <v>154</v>
      </c>
    </row>
    <row r="11" spans="1:17" ht="13.5" thickBot="1">
      <c r="A11" s="620"/>
      <c r="B11" s="621"/>
      <c r="C11" s="621"/>
      <c r="D11" s="621"/>
      <c r="E11" s="621"/>
      <c r="F11" s="621"/>
      <c r="G11" s="621" t="s">
        <v>155</v>
      </c>
      <c r="H11" s="622"/>
      <c r="I11" s="616"/>
      <c r="J11" s="620"/>
      <c r="K11" s="621"/>
      <c r="L11" s="621"/>
      <c r="M11" s="621"/>
      <c r="N11" s="621"/>
      <c r="O11" s="621"/>
      <c r="P11" s="621"/>
      <c r="Q11" s="622"/>
    </row>
    <row r="12" spans="1:17" ht="13.5" thickBot="1">
      <c r="A12" s="623"/>
      <c r="B12" s="624">
        <v>1</v>
      </c>
      <c r="C12" s="625">
        <v>2</v>
      </c>
      <c r="D12" s="625">
        <v>3</v>
      </c>
      <c r="E12" s="625">
        <v>4</v>
      </c>
      <c r="F12" s="625">
        <v>5</v>
      </c>
      <c r="G12" s="625">
        <v>6</v>
      </c>
      <c r="H12" s="626">
        <v>7</v>
      </c>
      <c r="I12" s="616"/>
      <c r="J12" s="623"/>
      <c r="K12" s="624">
        <v>1</v>
      </c>
      <c r="L12" s="625">
        <v>2</v>
      </c>
      <c r="M12" s="625">
        <v>3</v>
      </c>
      <c r="N12" s="625">
        <v>4</v>
      </c>
      <c r="O12" s="625">
        <v>5</v>
      </c>
      <c r="P12" s="625">
        <v>6</v>
      </c>
      <c r="Q12" s="626">
        <v>7</v>
      </c>
    </row>
    <row r="13" spans="1:17" ht="15" customHeight="1">
      <c r="A13" s="627" t="s">
        <v>156</v>
      </c>
      <c r="B13" s="628" t="s">
        <v>157</v>
      </c>
      <c r="C13" s="629"/>
      <c r="D13" s="629"/>
      <c r="E13" s="627"/>
      <c r="F13" s="627"/>
      <c r="G13" s="627"/>
      <c r="H13" s="630"/>
      <c r="I13" s="392"/>
      <c r="J13" s="630" t="s">
        <v>156</v>
      </c>
      <c r="K13" s="631">
        <v>2006</v>
      </c>
      <c r="L13" s="629"/>
      <c r="M13" s="632">
        <v>0</v>
      </c>
      <c r="N13" s="627"/>
      <c r="O13" s="632">
        <v>0</v>
      </c>
      <c r="P13" s="627"/>
      <c r="Q13" s="627"/>
    </row>
    <row r="14" spans="1:17" ht="15" customHeight="1">
      <c r="A14" s="627"/>
      <c r="B14" s="628" t="s">
        <v>158</v>
      </c>
      <c r="C14" s="633">
        <v>30000</v>
      </c>
      <c r="D14" s="634" t="s">
        <v>159</v>
      </c>
      <c r="E14" s="627" t="s">
        <v>160</v>
      </c>
      <c r="F14" s="635" t="s">
        <v>161</v>
      </c>
      <c r="G14" s="636">
        <v>0.0347</v>
      </c>
      <c r="H14" s="618" t="s">
        <v>162</v>
      </c>
      <c r="I14" s="616"/>
      <c r="J14" s="637"/>
      <c r="K14" s="637"/>
      <c r="L14" s="638"/>
      <c r="M14" s="639"/>
      <c r="N14" s="637"/>
      <c r="O14" s="640"/>
      <c r="P14" s="641"/>
      <c r="Q14" s="639"/>
    </row>
    <row r="15" spans="1:17" ht="15" customHeight="1">
      <c r="A15" s="627"/>
      <c r="B15" s="628" t="s">
        <v>163</v>
      </c>
      <c r="C15" s="633"/>
      <c r="D15" s="629"/>
      <c r="E15" s="627"/>
      <c r="F15" s="627"/>
      <c r="G15" s="642"/>
      <c r="H15" s="627"/>
      <c r="I15" s="392"/>
      <c r="J15" s="637"/>
      <c r="K15" s="637"/>
      <c r="L15" s="638"/>
      <c r="M15" s="637"/>
      <c r="N15" s="637"/>
      <c r="O15" s="637"/>
      <c r="P15" s="637"/>
      <c r="Q15" s="637"/>
    </row>
    <row r="16" spans="1:17" ht="15" customHeight="1">
      <c r="A16" s="627"/>
      <c r="B16" s="628"/>
      <c r="C16" s="643"/>
      <c r="D16" s="644"/>
      <c r="E16" s="645"/>
      <c r="F16" s="645"/>
      <c r="G16" s="646"/>
      <c r="H16" s="645"/>
      <c r="I16" s="392"/>
      <c r="J16" s="637"/>
      <c r="K16" s="637"/>
      <c r="L16" s="638"/>
      <c r="M16" s="637"/>
      <c r="N16" s="637"/>
      <c r="O16" s="637"/>
      <c r="P16" s="637"/>
      <c r="Q16" s="637"/>
    </row>
    <row r="17" spans="1:17" ht="15" customHeight="1">
      <c r="A17" s="647"/>
      <c r="B17" s="648" t="s">
        <v>164</v>
      </c>
      <c r="C17" s="649">
        <v>200681</v>
      </c>
      <c r="D17" s="650" t="s">
        <v>159</v>
      </c>
      <c r="E17" s="647" t="s">
        <v>160</v>
      </c>
      <c r="F17" s="651">
        <v>42735</v>
      </c>
      <c r="G17" s="652">
        <v>0.0281</v>
      </c>
      <c r="H17" s="618" t="s">
        <v>162</v>
      </c>
      <c r="I17" s="616"/>
      <c r="J17" s="637"/>
      <c r="K17" s="637"/>
      <c r="L17" s="638"/>
      <c r="M17" s="639"/>
      <c r="N17" s="637"/>
      <c r="O17" s="653"/>
      <c r="P17" s="641"/>
      <c r="Q17" s="639"/>
    </row>
    <row r="18" spans="1:17" ht="15" customHeight="1">
      <c r="A18" s="647"/>
      <c r="B18" s="647"/>
      <c r="C18" s="654"/>
      <c r="D18" s="637"/>
      <c r="E18" s="647"/>
      <c r="F18" s="637"/>
      <c r="G18" s="637"/>
      <c r="H18" s="637"/>
      <c r="I18" s="392"/>
      <c r="J18" s="647"/>
      <c r="K18" s="647"/>
      <c r="L18" s="654"/>
      <c r="M18" s="637"/>
      <c r="N18" s="647"/>
      <c r="O18" s="637"/>
      <c r="P18" s="637"/>
      <c r="Q18" s="637"/>
    </row>
    <row r="19" spans="1:17" ht="15" customHeight="1">
      <c r="A19" s="637"/>
      <c r="B19" s="637"/>
      <c r="C19" s="638"/>
      <c r="D19" s="637"/>
      <c r="E19" s="637"/>
      <c r="F19" s="637"/>
      <c r="G19" s="637"/>
      <c r="H19" s="637"/>
      <c r="I19" s="392"/>
      <c r="J19" s="637"/>
      <c r="K19" s="637"/>
      <c r="L19" s="638"/>
      <c r="M19" s="637"/>
      <c r="N19" s="637"/>
      <c r="O19" s="637"/>
      <c r="P19" s="637"/>
      <c r="Q19" s="637"/>
    </row>
    <row r="20" spans="1:17" ht="15" customHeight="1">
      <c r="A20" s="637"/>
      <c r="B20" s="637"/>
      <c r="C20" s="638"/>
      <c r="D20" s="637"/>
      <c r="E20" s="637"/>
      <c r="F20" s="637"/>
      <c r="G20" s="637"/>
      <c r="H20" s="637"/>
      <c r="I20" s="392"/>
      <c r="J20" s="637"/>
      <c r="K20" s="637"/>
      <c r="L20" s="638"/>
      <c r="M20" s="637"/>
      <c r="N20" s="637"/>
      <c r="O20" s="637"/>
      <c r="P20" s="637"/>
      <c r="Q20" s="637"/>
    </row>
    <row r="21" spans="1:17" ht="15" customHeight="1">
      <c r="A21" s="637"/>
      <c r="B21" s="637"/>
      <c r="C21" s="638"/>
      <c r="D21" s="637"/>
      <c r="E21" s="637"/>
      <c r="F21" s="637"/>
      <c r="G21" s="637"/>
      <c r="H21" s="637"/>
      <c r="I21" s="392"/>
      <c r="J21" s="637"/>
      <c r="K21" s="637"/>
      <c r="L21" s="638"/>
      <c r="M21" s="637"/>
      <c r="N21" s="637"/>
      <c r="O21" s="637"/>
      <c r="P21" s="637"/>
      <c r="Q21" s="637"/>
    </row>
    <row r="22" spans="1:17" ht="15" customHeight="1">
      <c r="A22" s="637"/>
      <c r="B22" s="637"/>
      <c r="C22" s="638"/>
      <c r="D22" s="637"/>
      <c r="E22" s="637"/>
      <c r="F22" s="637"/>
      <c r="G22" s="637"/>
      <c r="H22" s="637"/>
      <c r="I22" s="392"/>
      <c r="J22" s="637"/>
      <c r="K22" s="637"/>
      <c r="L22" s="638"/>
      <c r="M22" s="637"/>
      <c r="N22" s="637"/>
      <c r="O22" s="637"/>
      <c r="P22" s="637"/>
      <c r="Q22" s="637"/>
    </row>
    <row r="23" spans="1:17" ht="15" customHeight="1">
      <c r="A23" s="637"/>
      <c r="B23" s="637"/>
      <c r="C23" s="638"/>
      <c r="D23" s="637"/>
      <c r="E23" s="637"/>
      <c r="F23" s="637"/>
      <c r="G23" s="637"/>
      <c r="H23" s="637"/>
      <c r="I23" s="392"/>
      <c r="J23" s="637"/>
      <c r="K23" s="637"/>
      <c r="L23" s="638"/>
      <c r="M23" s="637"/>
      <c r="N23" s="637"/>
      <c r="O23" s="637"/>
      <c r="P23" s="637"/>
      <c r="Q23" s="637"/>
    </row>
    <row r="24" spans="1:17" ht="15" customHeight="1" thickBot="1">
      <c r="A24" s="645"/>
      <c r="B24" s="645"/>
      <c r="C24" s="655"/>
      <c r="D24" s="645"/>
      <c r="E24" s="645"/>
      <c r="F24" s="645"/>
      <c r="G24" s="645"/>
      <c r="H24" s="656"/>
      <c r="I24" s="392"/>
      <c r="J24" s="656"/>
      <c r="K24" s="645"/>
      <c r="L24" s="655"/>
      <c r="M24" s="645"/>
      <c r="N24" s="645"/>
      <c r="O24" s="645"/>
      <c r="P24" s="645"/>
      <c r="Q24" s="645"/>
    </row>
    <row r="25" spans="1:17" ht="19.5" customHeight="1" thickBot="1">
      <c r="A25" s="657" t="s">
        <v>165</v>
      </c>
      <c r="B25" s="658"/>
      <c r="C25" s="659"/>
      <c r="D25" s="658"/>
      <c r="E25" s="658"/>
      <c r="F25" s="658"/>
      <c r="G25" s="658"/>
      <c r="H25" s="660"/>
      <c r="I25" s="392"/>
      <c r="J25" s="657" t="s">
        <v>165</v>
      </c>
      <c r="K25" s="658"/>
      <c r="L25" s="659"/>
      <c r="M25" s="658"/>
      <c r="N25" s="658"/>
      <c r="O25" s="658"/>
      <c r="P25" s="658"/>
      <c r="Q25" s="660"/>
    </row>
    <row r="29" spans="1:16" ht="12.75">
      <c r="A29" t="s">
        <v>166</v>
      </c>
      <c r="C29" t="s">
        <v>167</v>
      </c>
      <c r="E29" s="661" t="s">
        <v>168</v>
      </c>
      <c r="G29" t="s">
        <v>128</v>
      </c>
      <c r="J29" t="s">
        <v>166</v>
      </c>
      <c r="L29" t="s">
        <v>167</v>
      </c>
      <c r="N29" s="661" t="s">
        <v>169</v>
      </c>
      <c r="P29" s="662" t="s">
        <v>170</v>
      </c>
    </row>
    <row r="30" spans="1:12" ht="12.75">
      <c r="A30" t="s">
        <v>171</v>
      </c>
      <c r="C30" t="s">
        <v>172</v>
      </c>
      <c r="J30" t="s">
        <v>171</v>
      </c>
      <c r="L30" t="s">
        <v>172</v>
      </c>
    </row>
    <row r="32" ht="12.75">
      <c r="N32" s="662"/>
    </row>
    <row r="33" spans="1:17" ht="12.75">
      <c r="A33" s="812">
        <v>29</v>
      </c>
      <c r="B33" s="813"/>
      <c r="C33" s="813"/>
      <c r="D33" s="813"/>
      <c r="E33" s="813"/>
      <c r="F33" s="813"/>
      <c r="G33" s="813"/>
      <c r="H33" s="813"/>
      <c r="I33" s="664"/>
      <c r="J33" s="812">
        <v>30</v>
      </c>
      <c r="K33" s="813"/>
      <c r="L33" s="813"/>
      <c r="M33" s="813"/>
      <c r="N33" s="813"/>
      <c r="O33" s="813"/>
      <c r="P33" s="813"/>
      <c r="Q33" s="813"/>
    </row>
    <row r="34" spans="1:9" ht="12.75">
      <c r="A34" s="392"/>
      <c r="B34" s="392"/>
      <c r="C34" s="392"/>
      <c r="D34" s="392"/>
      <c r="E34" s="392"/>
      <c r="F34" s="392"/>
      <c r="G34" s="392"/>
      <c r="H34" s="392"/>
      <c r="I34" s="392"/>
    </row>
    <row r="35" spans="1:9" ht="12.75">
      <c r="A35" s="392"/>
      <c r="C35" s="392"/>
      <c r="D35" s="392"/>
      <c r="E35" s="392"/>
      <c r="F35" s="392"/>
      <c r="G35" s="392"/>
      <c r="H35" s="392"/>
      <c r="I35" s="392"/>
    </row>
    <row r="36" spans="1:9" ht="12.75">
      <c r="A36" s="392"/>
      <c r="B36" s="392"/>
      <c r="C36" s="392"/>
      <c r="D36" s="392"/>
      <c r="E36" s="392"/>
      <c r="F36" s="392"/>
      <c r="G36" s="392"/>
      <c r="H36" s="392"/>
      <c r="I36" s="392"/>
    </row>
    <row r="37" spans="1:9" ht="12.75">
      <c r="A37" s="392"/>
      <c r="B37" s="392"/>
      <c r="C37" s="392"/>
      <c r="D37" s="392"/>
      <c r="E37" s="392"/>
      <c r="F37" s="392"/>
      <c r="G37" s="392"/>
      <c r="H37" s="392"/>
      <c r="I37" s="392"/>
    </row>
    <row r="38" spans="1:9" ht="12.75">
      <c r="A38" s="392"/>
      <c r="B38" s="392"/>
      <c r="C38" s="392"/>
      <c r="D38" s="392"/>
      <c r="E38" s="392"/>
      <c r="F38" s="392"/>
      <c r="G38" s="392"/>
      <c r="H38" s="392"/>
      <c r="I38" s="392"/>
    </row>
    <row r="39" spans="1:9" ht="12.75">
      <c r="A39" s="392"/>
      <c r="B39" s="392"/>
      <c r="C39" s="392"/>
      <c r="D39" s="392"/>
      <c r="E39" s="392"/>
      <c r="F39" s="392"/>
      <c r="G39" s="392"/>
      <c r="H39" s="392"/>
      <c r="I39" s="392"/>
    </row>
    <row r="40" spans="1:9" ht="12.75">
      <c r="A40" s="392"/>
      <c r="B40" s="392"/>
      <c r="C40" s="392"/>
      <c r="D40" s="392"/>
      <c r="E40" s="392"/>
      <c r="F40" s="392"/>
      <c r="G40" s="392"/>
      <c r="H40" s="392"/>
      <c r="I40" s="392"/>
    </row>
    <row r="41" spans="1:9" ht="12.75">
      <c r="A41" s="392"/>
      <c r="B41" s="392"/>
      <c r="C41" s="392"/>
      <c r="D41" s="392"/>
      <c r="E41" s="392"/>
      <c r="F41" s="392"/>
      <c r="G41" s="392"/>
      <c r="H41" s="392"/>
      <c r="I41" s="392"/>
    </row>
    <row r="42" spans="1:9" ht="12.75">
      <c r="A42" s="392"/>
      <c r="B42" s="392"/>
      <c r="C42" s="392"/>
      <c r="D42" s="392"/>
      <c r="E42" s="392"/>
      <c r="F42" s="392"/>
      <c r="G42" s="392"/>
      <c r="H42" s="664"/>
      <c r="I42" s="664"/>
    </row>
    <row r="43" spans="1:9" ht="12.75">
      <c r="A43" s="616"/>
      <c r="B43" s="616"/>
      <c r="C43" s="616"/>
      <c r="D43" s="616"/>
      <c r="E43" s="616"/>
      <c r="F43" s="616"/>
      <c r="G43" s="616"/>
      <c r="H43" s="616"/>
      <c r="I43" s="616"/>
    </row>
    <row r="44" spans="1:9" ht="12.75">
      <c r="A44" s="616"/>
      <c r="B44" s="616"/>
      <c r="C44" s="616"/>
      <c r="D44" s="616"/>
      <c r="E44" s="616"/>
      <c r="F44" s="616"/>
      <c r="G44" s="616"/>
      <c r="H44" s="616"/>
      <c r="I44" s="616"/>
    </row>
    <row r="45" spans="1:9" ht="12.75">
      <c r="A45" s="616"/>
      <c r="B45" s="616"/>
      <c r="C45" s="616"/>
      <c r="D45" s="616"/>
      <c r="E45" s="616"/>
      <c r="F45" s="616"/>
      <c r="G45" s="616"/>
      <c r="H45" s="616"/>
      <c r="I45" s="616"/>
    </row>
    <row r="46" spans="1:9" ht="12.75">
      <c r="A46" s="392"/>
      <c r="B46" s="616"/>
      <c r="C46" s="616"/>
      <c r="D46" s="616"/>
      <c r="E46" s="616"/>
      <c r="F46" s="616"/>
      <c r="G46" s="616"/>
      <c r="H46" s="616"/>
      <c r="I46" s="616"/>
    </row>
    <row r="47" spans="1:9" ht="12.75">
      <c r="A47" s="392"/>
      <c r="B47" s="392"/>
      <c r="C47" s="392"/>
      <c r="D47" s="392"/>
      <c r="E47" s="392"/>
      <c r="F47" s="392"/>
      <c r="G47" s="392"/>
      <c r="H47" s="392"/>
      <c r="I47" s="392"/>
    </row>
    <row r="48" spans="1:9" ht="12.75">
      <c r="A48" s="392"/>
      <c r="B48" s="392"/>
      <c r="C48" s="665"/>
      <c r="D48" s="616"/>
      <c r="E48" s="392"/>
      <c r="F48" s="666"/>
      <c r="G48" s="667"/>
      <c r="H48" s="616"/>
      <c r="I48" s="616"/>
    </row>
    <row r="49" spans="1:9" ht="12.75">
      <c r="A49" s="392"/>
      <c r="B49" s="392"/>
      <c r="C49" s="665"/>
      <c r="D49" s="392"/>
      <c r="E49" s="392"/>
      <c r="F49" s="392"/>
      <c r="G49" s="392"/>
      <c r="H49" s="392"/>
      <c r="I49" s="392"/>
    </row>
    <row r="50" spans="1:9" ht="12.75">
      <c r="A50" s="392"/>
      <c r="B50" s="392"/>
      <c r="C50" s="665"/>
      <c r="D50" s="392"/>
      <c r="E50" s="392"/>
      <c r="F50" s="392"/>
      <c r="G50" s="392"/>
      <c r="H50" s="392"/>
      <c r="I50" s="392"/>
    </row>
    <row r="51" spans="1:9" ht="12.75">
      <c r="A51" s="392"/>
      <c r="B51" s="392"/>
      <c r="C51" s="665"/>
      <c r="D51" s="616"/>
      <c r="E51" s="392"/>
      <c r="F51" s="668"/>
      <c r="G51" s="667"/>
      <c r="H51" s="616"/>
      <c r="I51" s="616"/>
    </row>
    <row r="52" spans="1:9" ht="12.75">
      <c r="A52" s="392"/>
      <c r="B52" s="392"/>
      <c r="C52" s="665"/>
      <c r="D52" s="392"/>
      <c r="E52" s="392"/>
      <c r="F52" s="392"/>
      <c r="G52" s="392"/>
      <c r="H52" s="392"/>
      <c r="I52" s="392"/>
    </row>
    <row r="53" spans="1:9" ht="12.75">
      <c r="A53" s="392"/>
      <c r="B53" s="392"/>
      <c r="C53" s="665"/>
      <c r="D53" s="616"/>
      <c r="E53" s="392"/>
      <c r="F53" s="668"/>
      <c r="G53" s="667"/>
      <c r="H53" s="616"/>
      <c r="I53" s="616"/>
    </row>
    <row r="54" spans="1:9" ht="12.75">
      <c r="A54" s="392"/>
      <c r="B54" s="392"/>
      <c r="C54" s="665"/>
      <c r="D54" s="392"/>
      <c r="E54" s="392"/>
      <c r="F54" s="392"/>
      <c r="G54" s="392"/>
      <c r="H54" s="392"/>
      <c r="I54" s="392"/>
    </row>
    <row r="55" spans="1:9" ht="12.75">
      <c r="A55" s="392"/>
      <c r="B55" s="392"/>
      <c r="C55" s="665"/>
      <c r="D55" s="392"/>
      <c r="E55" s="392"/>
      <c r="F55" s="392"/>
      <c r="G55" s="392"/>
      <c r="H55" s="392"/>
      <c r="I55" s="392"/>
    </row>
    <row r="56" spans="1:9" ht="12.75">
      <c r="A56" s="392"/>
      <c r="B56" s="392"/>
      <c r="C56" s="665"/>
      <c r="D56" s="392"/>
      <c r="E56" s="392"/>
      <c r="F56" s="392"/>
      <c r="G56" s="392"/>
      <c r="H56" s="392"/>
      <c r="I56" s="392"/>
    </row>
    <row r="57" spans="1:9" ht="12.75">
      <c r="A57" s="392"/>
      <c r="B57" s="392"/>
      <c r="C57" s="665"/>
      <c r="D57" s="392"/>
      <c r="E57" s="392"/>
      <c r="F57" s="392"/>
      <c r="G57" s="392"/>
      <c r="H57" s="392"/>
      <c r="I57" s="392"/>
    </row>
    <row r="58" spans="1:9" ht="12.75">
      <c r="A58" s="392"/>
      <c r="B58" s="392"/>
      <c r="C58" s="665"/>
      <c r="D58" s="392"/>
      <c r="E58" s="392"/>
      <c r="F58" s="392"/>
      <c r="G58" s="392"/>
      <c r="H58" s="392"/>
      <c r="I58" s="392"/>
    </row>
    <row r="59" spans="1:9" ht="12.75">
      <c r="A59" s="392"/>
      <c r="B59" s="392"/>
      <c r="C59" s="665"/>
      <c r="D59" s="392"/>
      <c r="E59" s="392"/>
      <c r="F59" s="392"/>
      <c r="G59" s="392"/>
      <c r="H59" s="392"/>
      <c r="I59" s="392"/>
    </row>
    <row r="60" spans="1:9" ht="12.75">
      <c r="A60" s="392"/>
      <c r="B60" s="392"/>
      <c r="C60" s="665"/>
      <c r="D60" s="392"/>
      <c r="E60" s="392"/>
      <c r="F60" s="392"/>
      <c r="G60" s="392"/>
      <c r="H60" s="392"/>
      <c r="I60" s="392"/>
    </row>
    <row r="61" spans="1:9" ht="12.75">
      <c r="A61" s="669"/>
      <c r="B61" s="392"/>
      <c r="C61" s="665"/>
      <c r="D61" s="392"/>
      <c r="E61" s="392"/>
      <c r="F61" s="392"/>
      <c r="G61" s="392"/>
      <c r="H61" s="392"/>
      <c r="I61" s="392"/>
    </row>
    <row r="62" spans="1:9" ht="12.75">
      <c r="A62" s="392"/>
      <c r="B62" s="392"/>
      <c r="C62" s="392"/>
      <c r="D62" s="392"/>
      <c r="E62" s="392"/>
      <c r="F62" s="392"/>
      <c r="G62" s="392"/>
      <c r="H62" s="392"/>
      <c r="I62" s="392"/>
    </row>
    <row r="63" spans="1:9" ht="12.75">
      <c r="A63" s="392"/>
      <c r="B63" s="392"/>
      <c r="C63" s="392"/>
      <c r="D63" s="392"/>
      <c r="E63" s="392"/>
      <c r="F63" s="392"/>
      <c r="G63" s="392"/>
      <c r="H63" s="392"/>
      <c r="I63" s="392"/>
    </row>
    <row r="64" spans="1:9" ht="12.75">
      <c r="A64" s="392"/>
      <c r="B64" s="392"/>
      <c r="C64" s="392"/>
      <c r="D64" s="392"/>
      <c r="E64" s="392"/>
      <c r="F64" s="392"/>
      <c r="G64" s="392"/>
      <c r="H64" s="392"/>
      <c r="I64" s="392"/>
    </row>
    <row r="65" spans="1:9" ht="12.75">
      <c r="A65" s="392"/>
      <c r="B65" s="392"/>
      <c r="C65" s="392"/>
      <c r="D65" s="392"/>
      <c r="E65" s="670"/>
      <c r="F65" s="392"/>
      <c r="G65" s="392"/>
      <c r="H65" s="392"/>
      <c r="I65" s="392"/>
    </row>
    <row r="66" spans="1:9" ht="12.75">
      <c r="A66" s="392"/>
      <c r="B66" s="392"/>
      <c r="C66" s="392"/>
      <c r="D66" s="392"/>
      <c r="E66" s="392"/>
      <c r="F66" s="392"/>
      <c r="G66" s="392"/>
      <c r="H66" s="392"/>
      <c r="I66" s="392"/>
    </row>
    <row r="67" spans="1:9" ht="12.75">
      <c r="A67" s="392"/>
      <c r="B67" s="392"/>
      <c r="C67" s="392"/>
      <c r="D67" s="392"/>
      <c r="E67" s="392"/>
      <c r="F67" s="392"/>
      <c r="G67" s="392"/>
      <c r="H67" s="392"/>
      <c r="I67" s="392"/>
    </row>
    <row r="68" spans="1:9" ht="12.75">
      <c r="A68" s="392"/>
      <c r="B68" s="392"/>
      <c r="C68" s="392"/>
      <c r="D68" s="392"/>
      <c r="E68" s="392"/>
      <c r="F68" s="392"/>
      <c r="G68" s="392"/>
      <c r="H68" s="392"/>
      <c r="I68" s="392"/>
    </row>
    <row r="69" spans="1:9" ht="12.75">
      <c r="A69" s="392"/>
      <c r="B69" s="392"/>
      <c r="C69" s="392"/>
      <c r="D69" s="392"/>
      <c r="E69" s="392"/>
      <c r="F69" s="392"/>
      <c r="G69" s="392"/>
      <c r="H69" s="392"/>
      <c r="I69" s="392"/>
    </row>
    <row r="70" spans="1:9" ht="12.75">
      <c r="A70" s="392"/>
      <c r="B70" s="392"/>
      <c r="C70" s="392"/>
      <c r="D70" s="392"/>
      <c r="E70" s="392"/>
      <c r="F70" s="392"/>
      <c r="G70" s="392"/>
      <c r="H70" s="392"/>
      <c r="I70" s="392"/>
    </row>
    <row r="71" spans="1:9" ht="12.75">
      <c r="A71" s="392"/>
      <c r="B71" s="392"/>
      <c r="C71" s="392"/>
      <c r="D71" s="392"/>
      <c r="E71" s="392"/>
      <c r="F71" s="392"/>
      <c r="G71" s="392"/>
      <c r="H71" s="392"/>
      <c r="I71" s="392"/>
    </row>
    <row r="72" spans="1:9" ht="12.75">
      <c r="A72" s="392"/>
      <c r="B72" s="392"/>
      <c r="C72" s="392"/>
      <c r="D72" s="392"/>
      <c r="E72" s="392"/>
      <c r="F72" s="392"/>
      <c r="G72" s="392"/>
      <c r="H72" s="392"/>
      <c r="I72" s="392"/>
    </row>
    <row r="73" spans="1:9" ht="12.75">
      <c r="A73" s="392"/>
      <c r="B73" s="392"/>
      <c r="C73" s="392"/>
      <c r="D73" s="392"/>
      <c r="E73" s="392"/>
      <c r="F73" s="392"/>
      <c r="G73" s="392"/>
      <c r="H73" s="392"/>
      <c r="I73" s="392"/>
    </row>
    <row r="74" spans="1:9" ht="12.75">
      <c r="A74" s="392"/>
      <c r="B74" s="392"/>
      <c r="C74" s="392"/>
      <c r="D74" s="392"/>
      <c r="E74" s="392"/>
      <c r="F74" s="392"/>
      <c r="G74" s="392"/>
      <c r="H74" s="392"/>
      <c r="I74" s="392"/>
    </row>
    <row r="75" spans="1:9" ht="12.75">
      <c r="A75" s="392"/>
      <c r="B75" s="392"/>
      <c r="C75" s="392"/>
      <c r="D75" s="392"/>
      <c r="E75" s="392"/>
      <c r="F75" s="392"/>
      <c r="G75" s="392"/>
      <c r="H75" s="392"/>
      <c r="I75" s="392"/>
    </row>
    <row r="76" spans="1:9" ht="12.75">
      <c r="A76" s="392"/>
      <c r="B76" s="392"/>
      <c r="C76" s="392"/>
      <c r="D76" s="392"/>
      <c r="E76" s="392"/>
      <c r="F76" s="392"/>
      <c r="G76" s="392"/>
      <c r="H76" s="392"/>
      <c r="I76" s="392"/>
    </row>
    <row r="77" spans="1:9" ht="12.75">
      <c r="A77" s="392"/>
      <c r="B77" s="392"/>
      <c r="C77" s="392"/>
      <c r="D77" s="392"/>
      <c r="E77" s="392"/>
      <c r="F77" s="392"/>
      <c r="G77" s="392"/>
      <c r="H77" s="392"/>
      <c r="I77" s="392"/>
    </row>
    <row r="78" spans="1:9" ht="12.75">
      <c r="A78" s="392"/>
      <c r="B78" s="392"/>
      <c r="C78" s="392"/>
      <c r="D78" s="392"/>
      <c r="E78" s="392"/>
      <c r="F78" s="392"/>
      <c r="G78" s="392"/>
      <c r="H78" s="392"/>
      <c r="I78" s="392"/>
    </row>
    <row r="79" spans="1:9" ht="12.75">
      <c r="A79" s="392"/>
      <c r="B79" s="392"/>
      <c r="C79" s="392"/>
      <c r="D79" s="392"/>
      <c r="E79" s="392"/>
      <c r="F79" s="392"/>
      <c r="G79" s="392"/>
      <c r="H79" s="392"/>
      <c r="I79" s="392"/>
    </row>
    <row r="80" spans="1:9" ht="12.75">
      <c r="A80" s="392"/>
      <c r="B80" s="392"/>
      <c r="C80" s="392"/>
      <c r="D80" s="392"/>
      <c r="E80" s="392"/>
      <c r="F80" s="392"/>
      <c r="G80" s="392"/>
      <c r="H80" s="392"/>
      <c r="I80" s="392"/>
    </row>
    <row r="81" spans="1:9" ht="12.75">
      <c r="A81" s="392"/>
      <c r="B81" s="392"/>
      <c r="C81" s="392"/>
      <c r="D81" s="392"/>
      <c r="E81" s="392"/>
      <c r="F81" s="392"/>
      <c r="G81" s="392"/>
      <c r="H81" s="392"/>
      <c r="I81" s="392"/>
    </row>
    <row r="82" spans="1:9" ht="12.75">
      <c r="A82" s="392"/>
      <c r="B82" s="392"/>
      <c r="C82" s="392"/>
      <c r="D82" s="392"/>
      <c r="E82" s="392"/>
      <c r="F82" s="392"/>
      <c r="G82" s="392"/>
      <c r="H82" s="392"/>
      <c r="I82" s="392"/>
    </row>
    <row r="83" spans="1:9" ht="12.75">
      <c r="A83" s="392"/>
      <c r="B83" s="392"/>
      <c r="C83" s="392"/>
      <c r="D83" s="392"/>
      <c r="E83" s="392"/>
      <c r="F83" s="392"/>
      <c r="G83" s="392"/>
      <c r="H83" s="392"/>
      <c r="I83" s="392"/>
    </row>
    <row r="84" spans="1:9" ht="12.75">
      <c r="A84" s="392"/>
      <c r="B84" s="392"/>
      <c r="C84" s="392"/>
      <c r="D84" s="392"/>
      <c r="E84" s="392"/>
      <c r="F84" s="392"/>
      <c r="G84" s="392"/>
      <c r="H84" s="392"/>
      <c r="I84" s="392"/>
    </row>
    <row r="85" spans="1:9" ht="12.75">
      <c r="A85" s="392"/>
      <c r="B85" s="392"/>
      <c r="C85" s="392"/>
      <c r="D85" s="392"/>
      <c r="E85" s="392"/>
      <c r="F85" s="392"/>
      <c r="G85" s="392"/>
      <c r="H85" s="392"/>
      <c r="I85" s="392"/>
    </row>
    <row r="86" spans="1:9" ht="12.75">
      <c r="A86" s="392"/>
      <c r="B86" s="392"/>
      <c r="C86" s="392"/>
      <c r="D86" s="392"/>
      <c r="E86" s="392"/>
      <c r="F86" s="392"/>
      <c r="G86" s="392"/>
      <c r="H86" s="392"/>
      <c r="I86" s="392"/>
    </row>
    <row r="87" spans="1:9" ht="12.75">
      <c r="A87" s="392"/>
      <c r="B87" s="392"/>
      <c r="C87" s="392"/>
      <c r="D87" s="392"/>
      <c r="E87" s="392"/>
      <c r="F87" s="392"/>
      <c r="G87" s="392"/>
      <c r="H87" s="392"/>
      <c r="I87" s="392"/>
    </row>
    <row r="88" spans="1:9" ht="12.75">
      <c r="A88" s="392"/>
      <c r="B88" s="392"/>
      <c r="C88" s="392"/>
      <c r="D88" s="392"/>
      <c r="E88" s="392"/>
      <c r="F88" s="392"/>
      <c r="G88" s="392"/>
      <c r="H88" s="392"/>
      <c r="I88" s="392"/>
    </row>
    <row r="89" spans="1:9" ht="12.75">
      <c r="A89" s="392"/>
      <c r="B89" s="392"/>
      <c r="C89" s="392"/>
      <c r="D89" s="392"/>
      <c r="E89" s="392"/>
      <c r="F89" s="392"/>
      <c r="G89" s="392"/>
      <c r="H89" s="392"/>
      <c r="I89" s="392"/>
    </row>
    <row r="90" spans="1:9" ht="12.75">
      <c r="A90" s="392"/>
      <c r="B90" s="392"/>
      <c r="C90" s="392"/>
      <c r="D90" s="392"/>
      <c r="E90" s="392"/>
      <c r="F90" s="392"/>
      <c r="G90" s="392"/>
      <c r="H90" s="392"/>
      <c r="I90" s="392"/>
    </row>
    <row r="91" spans="1:9" ht="12.75">
      <c r="A91" s="392"/>
      <c r="B91" s="392"/>
      <c r="C91" s="392"/>
      <c r="D91" s="392"/>
      <c r="E91" s="392"/>
      <c r="F91" s="392"/>
      <c r="G91" s="392"/>
      <c r="H91" s="392"/>
      <c r="I91" s="392"/>
    </row>
    <row r="92" spans="1:9" ht="12.75">
      <c r="A92" s="392"/>
      <c r="B92" s="392"/>
      <c r="C92" s="392"/>
      <c r="D92" s="392"/>
      <c r="E92" s="392"/>
      <c r="F92" s="392"/>
      <c r="G92" s="392"/>
      <c r="H92" s="392"/>
      <c r="I92" s="392"/>
    </row>
    <row r="93" spans="1:9" ht="12.75">
      <c r="A93" s="392"/>
      <c r="B93" s="392"/>
      <c r="C93" s="392"/>
      <c r="D93" s="392"/>
      <c r="E93" s="392"/>
      <c r="F93" s="392"/>
      <c r="G93" s="392"/>
      <c r="H93" s="392"/>
      <c r="I93" s="392"/>
    </row>
    <row r="94" spans="1:9" ht="12.75">
      <c r="A94" s="392"/>
      <c r="B94" s="392"/>
      <c r="C94" s="392"/>
      <c r="D94" s="392"/>
      <c r="E94" s="392"/>
      <c r="F94" s="392"/>
      <c r="G94" s="392"/>
      <c r="H94" s="392"/>
      <c r="I94" s="392"/>
    </row>
    <row r="95" spans="1:9" ht="12.75">
      <c r="A95" s="392"/>
      <c r="B95" s="392"/>
      <c r="C95" s="392"/>
      <c r="D95" s="392"/>
      <c r="E95" s="392"/>
      <c r="F95" s="392"/>
      <c r="G95" s="392"/>
      <c r="H95" s="392"/>
      <c r="I95" s="392"/>
    </row>
    <row r="96" spans="1:9" ht="12.75">
      <c r="A96" s="392"/>
      <c r="B96" s="392"/>
      <c r="C96" s="392"/>
      <c r="D96" s="392"/>
      <c r="E96" s="392"/>
      <c r="F96" s="392"/>
      <c r="G96" s="392"/>
      <c r="H96" s="392"/>
      <c r="I96" s="392"/>
    </row>
    <row r="97" spans="1:9" ht="12.75">
      <c r="A97" s="392"/>
      <c r="B97" s="392"/>
      <c r="C97" s="392"/>
      <c r="D97" s="392"/>
      <c r="E97" s="392"/>
      <c r="F97" s="392"/>
      <c r="G97" s="392"/>
      <c r="H97" s="392"/>
      <c r="I97" s="392"/>
    </row>
    <row r="98" spans="1:9" ht="12.75">
      <c r="A98" s="392"/>
      <c r="B98" s="392"/>
      <c r="C98" s="392"/>
      <c r="D98" s="392"/>
      <c r="E98" s="392"/>
      <c r="F98" s="392"/>
      <c r="G98" s="392"/>
      <c r="H98" s="392"/>
      <c r="I98" s="392"/>
    </row>
    <row r="99" spans="1:9" ht="12.75">
      <c r="A99" s="392"/>
      <c r="B99" s="392"/>
      <c r="C99" s="392"/>
      <c r="D99" s="392"/>
      <c r="E99" s="392"/>
      <c r="F99" s="392"/>
      <c r="G99" s="392"/>
      <c r="H99" s="392"/>
      <c r="I99" s="392"/>
    </row>
    <row r="100" spans="1:9" ht="12.75">
      <c r="A100" s="392"/>
      <c r="B100" s="392"/>
      <c r="C100" s="392"/>
      <c r="D100" s="392"/>
      <c r="E100" s="392"/>
      <c r="F100" s="392"/>
      <c r="G100" s="392"/>
      <c r="H100" s="392"/>
      <c r="I100" s="392"/>
    </row>
    <row r="101" spans="1:9" ht="12.75">
      <c r="A101" s="392"/>
      <c r="B101" s="392"/>
      <c r="C101" s="392"/>
      <c r="D101" s="392"/>
      <c r="E101" s="392"/>
      <c r="F101" s="392"/>
      <c r="G101" s="392"/>
      <c r="H101" s="392"/>
      <c r="I101" s="392"/>
    </row>
  </sheetData>
  <mergeCells count="2">
    <mergeCell ref="A33:H33"/>
    <mergeCell ref="J33:Q33"/>
  </mergeCells>
  <printOptions/>
  <pageMargins left="1.1811023622047245" right="0.7874015748031497" top="0.984251968503937" bottom="0.984251968503937" header="0.5118110236220472" footer="0.5118110236220472"/>
  <pageSetup horizontalDpi="300" verticalDpi="300" orientation="landscape" paperSize="9" r:id="rId1"/>
  <headerFooter alignWithMargins="0">
    <oddHeader>&amp;R&amp;"Arial CE,Tučné"&amp;11Příloha č. 8</oddHeader>
  </headerFooter>
</worksheet>
</file>

<file path=xl/worksheets/sheet13.xml><?xml version="1.0" encoding="utf-8"?>
<worksheet xmlns="http://schemas.openxmlformats.org/spreadsheetml/2006/main" xmlns:r="http://schemas.openxmlformats.org/officeDocument/2006/relationships">
  <dimension ref="A1:D36"/>
  <sheetViews>
    <sheetView workbookViewId="0" topLeftCell="A1">
      <selection activeCell="B32" sqref="B32:D32"/>
    </sheetView>
  </sheetViews>
  <sheetFormatPr defaultColWidth="9.00390625" defaultRowHeight="12.75"/>
  <cols>
    <col min="1" max="1" width="81.00390625" style="0" customWidth="1"/>
    <col min="2" max="2" width="13.00390625" style="0" customWidth="1"/>
    <col min="3" max="3" width="23.125" style="0" customWidth="1"/>
    <col min="4" max="4" width="12.875" style="0" customWidth="1"/>
  </cols>
  <sheetData>
    <row r="1" spans="1:4" ht="12.75">
      <c r="A1" s="671" t="s">
        <v>197</v>
      </c>
      <c r="B1" s="672"/>
      <c r="C1" s="672"/>
      <c r="D1" s="644"/>
    </row>
    <row r="2" spans="1:4" ht="12.75">
      <c r="A2" s="629"/>
      <c r="B2" s="392"/>
      <c r="C2" s="392"/>
      <c r="D2" s="631" t="s">
        <v>173</v>
      </c>
    </row>
    <row r="3" spans="1:4" ht="12.75">
      <c r="A3" s="629"/>
      <c r="B3" s="392"/>
      <c r="C3" s="392"/>
      <c r="D3" s="628"/>
    </row>
    <row r="4" spans="1:4" ht="12.75">
      <c r="A4" s="817" t="s">
        <v>174</v>
      </c>
      <c r="B4" s="818"/>
      <c r="C4" s="818"/>
      <c r="D4" s="819"/>
    </row>
    <row r="5" spans="1:4" ht="13.5" thickBot="1">
      <c r="A5" s="629"/>
      <c r="B5" s="392"/>
      <c r="C5" s="392"/>
      <c r="D5" s="628"/>
    </row>
    <row r="6" spans="1:4" ht="13.5" customHeight="1">
      <c r="A6" s="820" t="s">
        <v>175</v>
      </c>
      <c r="B6" s="822" t="s">
        <v>102</v>
      </c>
      <c r="C6" s="824" t="s">
        <v>176</v>
      </c>
      <c r="D6" s="824" t="s">
        <v>177</v>
      </c>
    </row>
    <row r="7" spans="1:4" ht="13.5" thickBot="1">
      <c r="A7" s="821"/>
      <c r="B7" s="823"/>
      <c r="C7" s="825"/>
      <c r="D7" s="825"/>
    </row>
    <row r="8" spans="1:4" ht="12.75">
      <c r="A8" s="629" t="s">
        <v>178</v>
      </c>
      <c r="B8" s="616">
        <v>550</v>
      </c>
      <c r="C8" s="673">
        <v>2269206</v>
      </c>
      <c r="D8" s="674">
        <v>0</v>
      </c>
    </row>
    <row r="9" spans="1:4" ht="12.75">
      <c r="A9" s="629" t="s">
        <v>179</v>
      </c>
      <c r="B9" s="616">
        <v>9</v>
      </c>
      <c r="C9" s="673">
        <v>257400</v>
      </c>
      <c r="D9" s="674">
        <v>0</v>
      </c>
    </row>
    <row r="10" spans="1:4" ht="12.75">
      <c r="A10" s="629" t="s">
        <v>180</v>
      </c>
      <c r="B10" s="616">
        <v>9</v>
      </c>
      <c r="C10" s="673">
        <v>99180</v>
      </c>
      <c r="D10" s="674">
        <v>0</v>
      </c>
    </row>
    <row r="11" spans="1:4" ht="12.75">
      <c r="A11" s="629" t="s">
        <v>181</v>
      </c>
      <c r="B11" s="616">
        <v>204</v>
      </c>
      <c r="C11" s="673">
        <v>2419887</v>
      </c>
      <c r="D11" s="674">
        <v>0</v>
      </c>
    </row>
    <row r="12" spans="1:4" ht="12.75">
      <c r="A12" s="629" t="s">
        <v>182</v>
      </c>
      <c r="B12" s="616">
        <v>501</v>
      </c>
      <c r="C12" s="673">
        <v>350000</v>
      </c>
      <c r="D12" s="674">
        <v>0</v>
      </c>
    </row>
    <row r="13" spans="1:4" ht="12.75">
      <c r="A13" s="629" t="s">
        <v>183</v>
      </c>
      <c r="B13" s="616">
        <v>1</v>
      </c>
      <c r="C13" s="673">
        <v>2800000</v>
      </c>
      <c r="D13" s="674">
        <v>0</v>
      </c>
    </row>
    <row r="14" spans="1:4" ht="12.75">
      <c r="A14" s="629" t="s">
        <v>184</v>
      </c>
      <c r="B14" s="616">
        <v>200</v>
      </c>
      <c r="C14" s="673">
        <v>1866000</v>
      </c>
      <c r="D14" s="674">
        <v>0</v>
      </c>
    </row>
    <row r="15" spans="1:4" ht="12.75">
      <c r="A15" s="629" t="s">
        <v>185</v>
      </c>
      <c r="B15" s="616" t="s">
        <v>186</v>
      </c>
      <c r="C15" s="673">
        <v>9400</v>
      </c>
      <c r="D15" s="674">
        <v>0</v>
      </c>
    </row>
    <row r="16" spans="1:4" ht="12.75">
      <c r="A16" s="629"/>
      <c r="B16" s="616"/>
      <c r="C16" s="673"/>
      <c r="D16" s="674"/>
    </row>
    <row r="17" spans="1:4" ht="12.75">
      <c r="A17" s="675" t="s">
        <v>187</v>
      </c>
      <c r="B17" s="616"/>
      <c r="C17" s="676">
        <f>SUM(C8:C16)</f>
        <v>10071073</v>
      </c>
      <c r="D17" s="677">
        <f>SUM(D8:D16)</f>
        <v>0</v>
      </c>
    </row>
    <row r="18" spans="1:4" ht="12.75">
      <c r="A18" s="629"/>
      <c r="B18" s="616"/>
      <c r="C18" s="673"/>
      <c r="D18" s="674"/>
    </row>
    <row r="19" spans="1:4" ht="12.75">
      <c r="A19" s="629" t="s">
        <v>188</v>
      </c>
      <c r="B19" s="616">
        <v>605</v>
      </c>
      <c r="C19" s="673">
        <v>380000</v>
      </c>
      <c r="D19" s="674">
        <v>0</v>
      </c>
    </row>
    <row r="20" spans="1:4" ht="12.75">
      <c r="A20" s="629" t="s">
        <v>189</v>
      </c>
      <c r="B20" s="616">
        <v>19</v>
      </c>
      <c r="C20" s="673">
        <v>400000</v>
      </c>
      <c r="D20" s="674">
        <v>0</v>
      </c>
    </row>
    <row r="21" spans="1:4" ht="12.75">
      <c r="A21" s="629" t="s">
        <v>189</v>
      </c>
      <c r="B21" s="616" t="s">
        <v>186</v>
      </c>
      <c r="C21" s="673">
        <v>300000</v>
      </c>
      <c r="D21" s="674">
        <v>0</v>
      </c>
    </row>
    <row r="22" spans="1:4" ht="12.75">
      <c r="A22" s="629"/>
      <c r="B22" s="616"/>
      <c r="C22" s="673"/>
      <c r="D22" s="674"/>
    </row>
    <row r="23" spans="1:4" ht="12.75">
      <c r="A23" s="675" t="s">
        <v>190</v>
      </c>
      <c r="B23" s="616"/>
      <c r="C23" s="676">
        <f>SUM(C19:C22)</f>
        <v>1080000</v>
      </c>
      <c r="D23" s="677">
        <f>SUM(D19:D22)</f>
        <v>0</v>
      </c>
    </row>
    <row r="24" spans="1:4" ht="12.75">
      <c r="A24" s="629"/>
      <c r="B24" s="616"/>
      <c r="C24" s="673"/>
      <c r="D24" s="674"/>
    </row>
    <row r="25" spans="1:4" ht="12.75">
      <c r="A25" s="678" t="s">
        <v>191</v>
      </c>
      <c r="B25" s="616"/>
      <c r="C25" s="676">
        <f>C17+C23</f>
        <v>11151073</v>
      </c>
      <c r="D25" s="677">
        <f>D17+D23</f>
        <v>0</v>
      </c>
    </row>
    <row r="26" spans="1:4" ht="12.75">
      <c r="A26" s="629"/>
      <c r="B26" s="616"/>
      <c r="C26" s="673"/>
      <c r="D26" s="674"/>
    </row>
    <row r="27" spans="1:4" ht="12.75">
      <c r="A27" s="629" t="s">
        <v>192</v>
      </c>
      <c r="B27" s="616">
        <v>327</v>
      </c>
      <c r="C27" s="673">
        <v>25640</v>
      </c>
      <c r="D27" s="674">
        <v>0</v>
      </c>
    </row>
    <row r="28" spans="1:4" ht="12.75">
      <c r="A28" s="629"/>
      <c r="B28" s="616"/>
      <c r="C28" s="673"/>
      <c r="D28" s="674"/>
    </row>
    <row r="29" spans="1:4" ht="13.5" thickBot="1">
      <c r="A29" s="629"/>
      <c r="B29" s="616"/>
      <c r="C29" s="673"/>
      <c r="D29" s="674"/>
    </row>
    <row r="30" spans="1:4" ht="13.5" thickBot="1">
      <c r="A30" s="679" t="s">
        <v>193</v>
      </c>
      <c r="B30" s="680"/>
      <c r="C30" s="681">
        <f>C25+C27</f>
        <v>11176713</v>
      </c>
      <c r="D30" s="682">
        <f>D25+D27</f>
        <v>0</v>
      </c>
    </row>
    <row r="31" spans="1:4" ht="12.75">
      <c r="A31" s="675"/>
      <c r="B31" s="616"/>
      <c r="C31" s="673"/>
      <c r="D31" s="674"/>
    </row>
    <row r="32" spans="1:4" ht="12.75">
      <c r="A32" s="683" t="s">
        <v>194</v>
      </c>
      <c r="B32" s="814" t="s">
        <v>195</v>
      </c>
      <c r="C32" s="815"/>
      <c r="D32" s="816"/>
    </row>
    <row r="33" spans="1:4" ht="12.75">
      <c r="A33" s="683" t="s">
        <v>196</v>
      </c>
      <c r="B33" s="683" t="s">
        <v>196</v>
      </c>
      <c r="C33" s="673"/>
      <c r="D33" s="674"/>
    </row>
    <row r="34" spans="1:4" ht="12.75">
      <c r="A34" s="675"/>
      <c r="B34" s="616"/>
      <c r="C34" s="673"/>
      <c r="D34" s="674"/>
    </row>
    <row r="35" spans="1:4" ht="12.75">
      <c r="A35" s="629"/>
      <c r="B35" s="616"/>
      <c r="C35" s="673"/>
      <c r="D35" s="674"/>
    </row>
    <row r="36" spans="1:4" ht="12.75">
      <c r="A36" s="684"/>
      <c r="B36" s="685"/>
      <c r="C36" s="686"/>
      <c r="D36" s="687"/>
    </row>
  </sheetData>
  <mergeCells count="6">
    <mergeCell ref="B32:D32"/>
    <mergeCell ref="A4:D4"/>
    <mergeCell ref="A6:A7"/>
    <mergeCell ref="B6:B7"/>
    <mergeCell ref="C6:C7"/>
    <mergeCell ref="D6:D7"/>
  </mergeCells>
  <printOptions gridLines="1" horizontalCentered="1"/>
  <pageMargins left="0.2" right="0.2" top="0.984251968503937" bottom="0.984251968503937" header="0.5118110236220472" footer="0.5118110236220472"/>
  <pageSetup horizontalDpi="600" verticalDpi="600" orientation="landscape" paperSize="9" r:id="rId1"/>
  <headerFooter alignWithMargins="0">
    <oddHeader>&amp;R&amp;"Arial CE,Tučné"&amp;11Příloha č. 8</oddHeader>
    <oddFooter>&amp;C31</oddFooter>
  </headerFooter>
</worksheet>
</file>

<file path=xl/worksheets/sheet14.xml><?xml version="1.0" encoding="utf-8"?>
<worksheet xmlns="http://schemas.openxmlformats.org/spreadsheetml/2006/main" xmlns:r="http://schemas.openxmlformats.org/officeDocument/2006/relationships">
  <dimension ref="A1:H45"/>
  <sheetViews>
    <sheetView workbookViewId="0" topLeftCell="A16">
      <selection activeCell="F1" sqref="F1"/>
    </sheetView>
  </sheetViews>
  <sheetFormatPr defaultColWidth="9.00390625" defaultRowHeight="12.75"/>
  <cols>
    <col min="1" max="1" width="17.375" style="688" customWidth="1"/>
    <col min="2" max="2" width="6.75390625" style="688" customWidth="1"/>
    <col min="3" max="3" width="50.75390625" style="688" customWidth="1"/>
    <col min="4" max="7" width="15.625" style="688" customWidth="1"/>
    <col min="8" max="8" width="13.375" style="688" customWidth="1"/>
    <col min="9" max="16384" width="9.125" style="688" customWidth="1"/>
  </cols>
  <sheetData>
    <row r="1" spans="2:7" ht="12.75">
      <c r="B1" s="689"/>
      <c r="C1" s="690"/>
      <c r="F1" s="592"/>
      <c r="G1" s="592"/>
    </row>
    <row r="2" ht="12.75">
      <c r="B2" s="691"/>
    </row>
    <row r="4" spans="1:6" ht="12.75">
      <c r="A4" s="688" t="s">
        <v>538</v>
      </c>
      <c r="F4" s="592" t="s">
        <v>198</v>
      </c>
    </row>
    <row r="5" ht="12.75">
      <c r="A5" s="688" t="s">
        <v>199</v>
      </c>
    </row>
    <row r="6" spans="1:3" ht="12.75">
      <c r="A6" s="688" t="s">
        <v>200</v>
      </c>
      <c r="C6" s="692" t="s">
        <v>201</v>
      </c>
    </row>
    <row r="7" ht="12.75">
      <c r="C7" s="692"/>
    </row>
    <row r="8" spans="1:7" ht="14.25">
      <c r="A8" s="826" t="s">
        <v>539</v>
      </c>
      <c r="B8" s="826"/>
      <c r="C8" s="826"/>
      <c r="D8" s="826"/>
      <c r="E8" s="826"/>
      <c r="F8" s="826"/>
      <c r="G8" s="826"/>
    </row>
    <row r="9" spans="1:7" ht="12.75">
      <c r="A9" s="813" t="s">
        <v>540</v>
      </c>
      <c r="B9" s="826"/>
      <c r="C9" s="826"/>
      <c r="D9" s="826"/>
      <c r="E9" s="826"/>
      <c r="F9" s="826"/>
      <c r="G9" s="826"/>
    </row>
    <row r="10" spans="1:7" ht="12.75">
      <c r="A10" s="693"/>
      <c r="B10" s="693"/>
      <c r="C10" s="693"/>
      <c r="D10" s="693"/>
      <c r="E10" s="693"/>
      <c r="F10" s="693"/>
      <c r="G10" s="693"/>
    </row>
    <row r="11" ht="13.5" thickBot="1">
      <c r="G11" s="694" t="s">
        <v>100</v>
      </c>
    </row>
    <row r="12" spans="1:8" s="703" customFormat="1" ht="64.5" thickBot="1">
      <c r="A12" s="695" t="s">
        <v>202</v>
      </c>
      <c r="B12" s="699" t="s">
        <v>203</v>
      </c>
      <c r="C12" s="700" t="s">
        <v>109</v>
      </c>
      <c r="D12" s="701" t="s">
        <v>204</v>
      </c>
      <c r="E12" s="701" t="s">
        <v>205</v>
      </c>
      <c r="F12" s="701" t="s">
        <v>206</v>
      </c>
      <c r="G12" s="701" t="s">
        <v>207</v>
      </c>
      <c r="H12" s="702"/>
    </row>
    <row r="13" spans="1:7" ht="13.5" thickBot="1">
      <c r="A13" s="704" t="s">
        <v>208</v>
      </c>
      <c r="B13" s="705" t="s">
        <v>209</v>
      </c>
      <c r="C13" s="706" t="s">
        <v>210</v>
      </c>
      <c r="D13" s="706">
        <v>1</v>
      </c>
      <c r="E13" s="706">
        <v>2</v>
      </c>
      <c r="F13" s="706">
        <v>3</v>
      </c>
      <c r="G13" s="704" t="s">
        <v>211</v>
      </c>
    </row>
    <row r="14" spans="1:7" ht="13.5" thickBot="1">
      <c r="A14" s="707"/>
      <c r="B14" s="708"/>
      <c r="C14" s="709" t="s">
        <v>212</v>
      </c>
      <c r="D14" s="710">
        <f>SUM(D16:D20)</f>
        <v>579645</v>
      </c>
      <c r="E14" s="710">
        <f>SUM(E16:E20)</f>
        <v>0</v>
      </c>
      <c r="F14" s="710">
        <f>SUM(F16:F20)</f>
        <v>579645</v>
      </c>
      <c r="G14" s="710">
        <f>SUM(G16:G20)</f>
        <v>0</v>
      </c>
    </row>
    <row r="15" spans="1:7" ht="12.75">
      <c r="A15" s="711"/>
      <c r="B15" s="712"/>
      <c r="C15" s="713" t="s">
        <v>213</v>
      </c>
      <c r="D15" s="714"/>
      <c r="E15" s="714"/>
      <c r="F15" s="714"/>
      <c r="G15" s="715"/>
    </row>
    <row r="16" spans="1:7" ht="12.75">
      <c r="A16" s="711"/>
      <c r="B16" s="712">
        <v>29004</v>
      </c>
      <c r="C16" s="716" t="s">
        <v>214</v>
      </c>
      <c r="D16" s="714">
        <v>48217</v>
      </c>
      <c r="E16" s="714">
        <v>0</v>
      </c>
      <c r="F16" s="714">
        <v>48217</v>
      </c>
      <c r="G16" s="714">
        <f>D16-E16-F16</f>
        <v>0</v>
      </c>
    </row>
    <row r="17" spans="1:7" ht="12.75">
      <c r="A17" s="711"/>
      <c r="B17" s="712">
        <v>29008</v>
      </c>
      <c r="C17" s="717" t="s">
        <v>215</v>
      </c>
      <c r="D17" s="714">
        <v>531428</v>
      </c>
      <c r="E17" s="714">
        <v>0</v>
      </c>
      <c r="F17" s="714">
        <v>531428</v>
      </c>
      <c r="G17" s="714">
        <f>D17-E17-F17</f>
        <v>0</v>
      </c>
    </row>
    <row r="18" spans="1:7" ht="12.75">
      <c r="A18" s="711"/>
      <c r="B18" s="712"/>
      <c r="C18" s="717"/>
      <c r="D18" s="714"/>
      <c r="E18" s="714"/>
      <c r="F18" s="714"/>
      <c r="G18" s="714"/>
    </row>
    <row r="19" spans="1:7" ht="12.75">
      <c r="A19" s="711"/>
      <c r="B19" s="712"/>
      <c r="C19" s="717"/>
      <c r="D19" s="714"/>
      <c r="E19" s="714"/>
      <c r="F19" s="714"/>
      <c r="G19" s="714"/>
    </row>
    <row r="20" spans="1:7" ht="13.5" thickBot="1">
      <c r="A20" s="711"/>
      <c r="B20" s="712"/>
      <c r="C20" s="718"/>
      <c r="D20" s="719"/>
      <c r="E20" s="719"/>
      <c r="F20" s="719"/>
      <c r="G20" s="719"/>
    </row>
    <row r="21" spans="1:7" ht="13.5" thickBot="1">
      <c r="A21" s="707"/>
      <c r="B21" s="705"/>
      <c r="C21" s="720" t="s">
        <v>541</v>
      </c>
      <c r="D21" s="710">
        <f>SUM(D23:D25)</f>
        <v>0</v>
      </c>
      <c r="E21" s="710">
        <f>SUM(E23:E25)</f>
        <v>0</v>
      </c>
      <c r="F21" s="710">
        <f>SUM(F23:F25)</f>
        <v>0</v>
      </c>
      <c r="G21" s="710">
        <f>SUM(G23:G25)</f>
        <v>0</v>
      </c>
    </row>
    <row r="22" spans="1:7" ht="12.75">
      <c r="A22" s="711"/>
      <c r="B22" s="712"/>
      <c r="C22" s="713" t="s">
        <v>213</v>
      </c>
      <c r="D22" s="714"/>
      <c r="E22" s="714"/>
      <c r="F22" s="714"/>
      <c r="G22" s="714"/>
    </row>
    <row r="23" spans="1:7" ht="12.75">
      <c r="A23" s="711"/>
      <c r="B23" s="712"/>
      <c r="C23" s="717"/>
      <c r="D23" s="714"/>
      <c r="E23" s="714"/>
      <c r="F23" s="714"/>
      <c r="G23" s="714"/>
    </row>
    <row r="24" spans="1:7" ht="12.75">
      <c r="A24" s="711"/>
      <c r="B24" s="712"/>
      <c r="C24" s="717"/>
      <c r="D24" s="714"/>
      <c r="E24" s="714"/>
      <c r="F24" s="714"/>
      <c r="G24" s="714"/>
    </row>
    <row r="25" spans="1:7" ht="13.5" thickBot="1">
      <c r="A25" s="721"/>
      <c r="B25" s="722"/>
      <c r="C25" s="717"/>
      <c r="D25" s="714"/>
      <c r="E25" s="714"/>
      <c r="F25" s="714"/>
      <c r="G25" s="719"/>
    </row>
    <row r="26" spans="1:7" ht="13.5" thickBot="1">
      <c r="A26" s="707"/>
      <c r="B26" s="705"/>
      <c r="C26" s="723" t="s">
        <v>542</v>
      </c>
      <c r="D26" s="710">
        <f>SUM(D28:D30)</f>
        <v>0</v>
      </c>
      <c r="E26" s="710">
        <f>SUM(E28:E30)</f>
        <v>0</v>
      </c>
      <c r="F26" s="710">
        <f>SUM(F28:F30)</f>
        <v>0</v>
      </c>
      <c r="G26" s="710">
        <f>SUM(G28:G30)</f>
        <v>0</v>
      </c>
    </row>
    <row r="27" spans="1:7" ht="12.75">
      <c r="A27" s="711"/>
      <c r="B27" s="722"/>
      <c r="C27" s="716" t="s">
        <v>213</v>
      </c>
      <c r="D27" s="714"/>
      <c r="E27" s="714"/>
      <c r="F27" s="714"/>
      <c r="G27" s="714"/>
    </row>
    <row r="28" spans="1:7" ht="12.75">
      <c r="A28" s="711"/>
      <c r="B28" s="722"/>
      <c r="C28" s="716"/>
      <c r="D28" s="714"/>
      <c r="E28" s="714"/>
      <c r="F28" s="714"/>
      <c r="G28" s="714"/>
    </row>
    <row r="29" spans="1:7" ht="12.75">
      <c r="A29" s="721"/>
      <c r="B29" s="722"/>
      <c r="C29" s="717"/>
      <c r="D29" s="714"/>
      <c r="E29" s="714"/>
      <c r="F29" s="714"/>
      <c r="G29" s="714"/>
    </row>
    <row r="30" spans="1:7" ht="13.5" thickBot="1">
      <c r="A30" s="721"/>
      <c r="B30" s="722"/>
      <c r="C30" s="718"/>
      <c r="D30" s="719"/>
      <c r="E30" s="719"/>
      <c r="F30" s="719"/>
      <c r="G30" s="719"/>
    </row>
    <row r="31" spans="1:7" ht="26.25" thickBot="1">
      <c r="A31" s="724"/>
      <c r="B31" s="705"/>
      <c r="C31" s="725" t="s">
        <v>216</v>
      </c>
      <c r="D31" s="719">
        <f>D14+D21+D26</f>
        <v>579645</v>
      </c>
      <c r="E31" s="719">
        <f>E14+E21+E26</f>
        <v>0</v>
      </c>
      <c r="F31" s="719">
        <f>F14+F21+F26</f>
        <v>579645</v>
      </c>
      <c r="G31" s="719">
        <f>G14+G21+G26</f>
        <v>0</v>
      </c>
    </row>
    <row r="32" spans="1:7" ht="12.75">
      <c r="A32" s="726"/>
      <c r="B32" s="727"/>
      <c r="C32" s="728"/>
      <c r="D32" s="726"/>
      <c r="E32" s="726"/>
      <c r="F32" s="726"/>
      <c r="G32" s="726"/>
    </row>
    <row r="33" spans="1:3" ht="12.75">
      <c r="A33" s="587" t="s">
        <v>217</v>
      </c>
      <c r="C33" s="587"/>
    </row>
    <row r="34" spans="1:8" ht="13.5">
      <c r="A34" s="729" t="s">
        <v>543</v>
      </c>
      <c r="C34" s="587"/>
      <c r="D34" s="592"/>
      <c r="E34" s="592"/>
      <c r="F34" s="592"/>
      <c r="G34" s="592"/>
      <c r="H34" s="592"/>
    </row>
    <row r="35" spans="1:8" ht="12.75">
      <c r="A35" s="587" t="s">
        <v>218</v>
      </c>
      <c r="C35" s="587"/>
      <c r="D35" s="592"/>
      <c r="E35" s="592"/>
      <c r="F35" s="592"/>
      <c r="G35" s="592"/>
      <c r="H35" s="592"/>
    </row>
    <row r="36" spans="1:8" ht="12.75">
      <c r="A36" s="588" t="s">
        <v>219</v>
      </c>
      <c r="C36" s="587"/>
      <c r="D36" s="592"/>
      <c r="E36" s="592"/>
      <c r="F36" s="592"/>
      <c r="G36" s="592"/>
      <c r="H36" s="592"/>
    </row>
    <row r="37" ht="12.75">
      <c r="A37" s="587" t="s">
        <v>220</v>
      </c>
    </row>
    <row r="38" spans="1:3" ht="12.75">
      <c r="A38" s="587" t="s">
        <v>221</v>
      </c>
      <c r="C38" s="587"/>
    </row>
    <row r="39" spans="1:3" ht="12.75">
      <c r="A39" s="587" t="s">
        <v>222</v>
      </c>
      <c r="C39" s="587"/>
    </row>
    <row r="40" spans="1:3" ht="12.75">
      <c r="A40" s="587" t="s">
        <v>531</v>
      </c>
      <c r="C40" s="587"/>
    </row>
    <row r="41" spans="1:3" ht="12.75">
      <c r="A41" s="587"/>
      <c r="C41" s="587"/>
    </row>
    <row r="42" spans="1:3" ht="12.75">
      <c r="A42" s="730" t="s">
        <v>532</v>
      </c>
      <c r="C42" s="587"/>
    </row>
    <row r="44" spans="1:7" ht="12.75">
      <c r="A44" s="688" t="s">
        <v>533</v>
      </c>
      <c r="C44" s="688" t="s">
        <v>534</v>
      </c>
      <c r="F44" s="688" t="s">
        <v>535</v>
      </c>
      <c r="G44" s="688" t="s">
        <v>536</v>
      </c>
    </row>
    <row r="45" spans="1:7" ht="12.75">
      <c r="A45" s="688" t="s">
        <v>537</v>
      </c>
      <c r="C45" s="731">
        <v>39101</v>
      </c>
      <c r="F45" s="688" t="s">
        <v>537</v>
      </c>
      <c r="G45" s="731">
        <v>39101</v>
      </c>
    </row>
  </sheetData>
  <mergeCells count="2">
    <mergeCell ref="A9:G9"/>
    <mergeCell ref="A8:G8"/>
  </mergeCells>
  <printOptions horizontalCentered="1"/>
  <pageMargins left="2.13" right="0.2755905511811024" top="0.93" bottom="0.2362204724409449" header="0.45" footer="0.2362204724409449"/>
  <pageSetup horizontalDpi="300" verticalDpi="300" orientation="landscape" paperSize="9" scale="70" r:id="rId1"/>
  <headerFooter alignWithMargins="0">
    <oddHeader>&amp;R&amp;"Arial CE,Tučné"&amp;11Příloha č. 8</oddHeader>
    <oddFooter>&amp;C32</oddFooter>
  </headerFooter>
</worksheet>
</file>

<file path=xl/worksheets/sheet15.xml><?xml version="1.0" encoding="utf-8"?>
<worksheet xmlns="http://schemas.openxmlformats.org/spreadsheetml/2006/main" xmlns:r="http://schemas.openxmlformats.org/officeDocument/2006/relationships">
  <dimension ref="A1:H46"/>
  <sheetViews>
    <sheetView workbookViewId="0" topLeftCell="A13">
      <selection activeCell="C30" sqref="C30"/>
    </sheetView>
  </sheetViews>
  <sheetFormatPr defaultColWidth="9.00390625" defaultRowHeight="12.75"/>
  <cols>
    <col min="1" max="1" width="17.375" style="688" customWidth="1"/>
    <col min="2" max="2" width="8.25390625" style="688" customWidth="1"/>
    <col min="3" max="3" width="50.75390625" style="688" customWidth="1"/>
    <col min="4" max="7" width="15.625" style="688" customWidth="1"/>
    <col min="8" max="8" width="13.375" style="688" customWidth="1"/>
    <col min="9" max="16384" width="9.125" style="688" customWidth="1"/>
  </cols>
  <sheetData>
    <row r="1" spans="2:7" ht="12.75">
      <c r="B1" s="689"/>
      <c r="C1" s="690"/>
      <c r="F1" s="592" t="s">
        <v>198</v>
      </c>
      <c r="G1" s="592"/>
    </row>
    <row r="2" ht="12.75">
      <c r="B2" s="691"/>
    </row>
    <row r="4" ht="12.75">
      <c r="A4" s="688" t="s">
        <v>538</v>
      </c>
    </row>
    <row r="5" ht="12.75">
      <c r="A5" s="688" t="s">
        <v>199</v>
      </c>
    </row>
    <row r="6" spans="1:3" ht="12.75">
      <c r="A6" s="688" t="s">
        <v>200</v>
      </c>
      <c r="C6" s="692" t="s">
        <v>544</v>
      </c>
    </row>
    <row r="7" ht="12.75">
      <c r="C7" s="692"/>
    </row>
    <row r="8" spans="1:7" ht="14.25">
      <c r="A8" s="826" t="s">
        <v>539</v>
      </c>
      <c r="B8" s="826"/>
      <c r="C8" s="826"/>
      <c r="D8" s="826"/>
      <c r="E8" s="826"/>
      <c r="F8" s="826"/>
      <c r="G8" s="826"/>
    </row>
    <row r="9" spans="1:7" ht="12.75">
      <c r="A9" s="813" t="s">
        <v>540</v>
      </c>
      <c r="B9" s="826"/>
      <c r="C9" s="826"/>
      <c r="D9" s="826"/>
      <c r="E9" s="826"/>
      <c r="F9" s="826"/>
      <c r="G9" s="826"/>
    </row>
    <row r="10" spans="1:7" ht="12.75">
      <c r="A10" s="693"/>
      <c r="B10" s="693"/>
      <c r="C10" s="693"/>
      <c r="D10" s="693"/>
      <c r="E10" s="693"/>
      <c r="F10" s="693"/>
      <c r="G10" s="693"/>
    </row>
    <row r="11" ht="13.5" thickBot="1">
      <c r="G11" s="694" t="s">
        <v>100</v>
      </c>
    </row>
    <row r="12" spans="1:8" s="703" customFormat="1" ht="77.25" thickBot="1">
      <c r="A12" s="732" t="s">
        <v>101</v>
      </c>
      <c r="B12" s="732" t="s">
        <v>102</v>
      </c>
      <c r="C12" s="732" t="s">
        <v>109</v>
      </c>
      <c r="D12" s="732" t="s">
        <v>545</v>
      </c>
      <c r="E12" s="732" t="s">
        <v>546</v>
      </c>
      <c r="F12" s="732" t="s">
        <v>547</v>
      </c>
      <c r="G12" s="701" t="s">
        <v>548</v>
      </c>
      <c r="H12" s="702"/>
    </row>
    <row r="13" spans="1:7" ht="13.5" thickBot="1">
      <c r="A13" s="704" t="s">
        <v>208</v>
      </c>
      <c r="B13" s="705" t="s">
        <v>209</v>
      </c>
      <c r="C13" s="706" t="s">
        <v>210</v>
      </c>
      <c r="D13" s="706">
        <v>1</v>
      </c>
      <c r="E13" s="706">
        <v>2</v>
      </c>
      <c r="F13" s="706">
        <v>3</v>
      </c>
      <c r="G13" s="704" t="s">
        <v>211</v>
      </c>
    </row>
    <row r="14" spans="1:7" ht="13.5" thickBot="1">
      <c r="A14" s="707"/>
      <c r="B14" s="708"/>
      <c r="C14" s="709" t="s">
        <v>212</v>
      </c>
      <c r="D14" s="710">
        <f>SUM(D16:D20)</f>
        <v>540000</v>
      </c>
      <c r="E14" s="710">
        <f>SUM(E16:E20)</f>
        <v>0</v>
      </c>
      <c r="F14" s="710">
        <f>SUM(F16:F20)</f>
        <v>540000</v>
      </c>
      <c r="G14" s="710">
        <f>SUM(G16:G20)</f>
        <v>0</v>
      </c>
    </row>
    <row r="15" spans="1:7" ht="12.75">
      <c r="A15" s="711"/>
      <c r="B15" s="712"/>
      <c r="C15" s="713" t="s">
        <v>213</v>
      </c>
      <c r="D15" s="714"/>
      <c r="E15" s="714"/>
      <c r="F15" s="714"/>
      <c r="G15" s="715"/>
    </row>
    <row r="16" spans="1:7" ht="12.75">
      <c r="A16" s="711"/>
      <c r="B16" s="712">
        <v>14336</v>
      </c>
      <c r="C16" s="716" t="s">
        <v>549</v>
      </c>
      <c r="D16" s="714">
        <v>540000</v>
      </c>
      <c r="E16" s="714">
        <v>0</v>
      </c>
      <c r="F16" s="714">
        <v>540000</v>
      </c>
      <c r="G16" s="714">
        <f>D16-E16-F16</f>
        <v>0</v>
      </c>
    </row>
    <row r="17" spans="1:7" ht="12.75">
      <c r="A17" s="711"/>
      <c r="B17" s="712"/>
      <c r="C17" s="717"/>
      <c r="D17" s="714"/>
      <c r="E17" s="714"/>
      <c r="F17" s="714"/>
      <c r="G17" s="714"/>
    </row>
    <row r="18" spans="1:7" ht="12.75">
      <c r="A18" s="711"/>
      <c r="B18" s="712"/>
      <c r="C18" s="717"/>
      <c r="D18" s="714"/>
      <c r="E18" s="714"/>
      <c r="F18" s="714"/>
      <c r="G18" s="714"/>
    </row>
    <row r="19" spans="1:7" ht="12.75">
      <c r="A19" s="711"/>
      <c r="B19" s="712"/>
      <c r="C19" s="717"/>
      <c r="D19" s="714"/>
      <c r="E19" s="714"/>
      <c r="F19" s="714"/>
      <c r="G19" s="714"/>
    </row>
    <row r="20" spans="1:7" ht="13.5" thickBot="1">
      <c r="A20" s="711"/>
      <c r="B20" s="712"/>
      <c r="C20" s="718"/>
      <c r="D20" s="719"/>
      <c r="E20" s="719"/>
      <c r="F20" s="719"/>
      <c r="G20" s="719"/>
    </row>
    <row r="21" spans="1:7" ht="13.5" thickBot="1">
      <c r="A21" s="707"/>
      <c r="B21" s="705"/>
      <c r="C21" s="720" t="s">
        <v>541</v>
      </c>
      <c r="D21" s="710">
        <f>SUM(D23:D25)</f>
        <v>0</v>
      </c>
      <c r="E21" s="710">
        <f>SUM(E23:E25)</f>
        <v>0</v>
      </c>
      <c r="F21" s="710">
        <f>SUM(F23:F25)</f>
        <v>0</v>
      </c>
      <c r="G21" s="710">
        <f>SUM(G23:G25)</f>
        <v>0</v>
      </c>
    </row>
    <row r="22" spans="1:7" ht="12.75">
      <c r="A22" s="711"/>
      <c r="B22" s="712"/>
      <c r="C22" s="713" t="s">
        <v>213</v>
      </c>
      <c r="D22" s="714"/>
      <c r="E22" s="714"/>
      <c r="F22" s="714"/>
      <c r="G22" s="714"/>
    </row>
    <row r="23" spans="1:7" ht="12.75">
      <c r="A23" s="711"/>
      <c r="B23" s="712"/>
      <c r="C23" s="717"/>
      <c r="D23" s="714"/>
      <c r="E23" s="714"/>
      <c r="F23" s="714"/>
      <c r="G23" s="714"/>
    </row>
    <row r="24" spans="1:7" ht="12.75">
      <c r="A24" s="711"/>
      <c r="B24" s="712"/>
      <c r="C24" s="717"/>
      <c r="D24" s="714"/>
      <c r="E24" s="714"/>
      <c r="F24" s="714"/>
      <c r="G24" s="714"/>
    </row>
    <row r="25" spans="1:7" ht="13.5" thickBot="1">
      <c r="A25" s="721"/>
      <c r="B25" s="722"/>
      <c r="C25" s="717"/>
      <c r="D25" s="714"/>
      <c r="E25" s="714"/>
      <c r="F25" s="714"/>
      <c r="G25" s="719"/>
    </row>
    <row r="26" spans="1:7" ht="13.5" thickBot="1">
      <c r="A26" s="707"/>
      <c r="B26" s="705"/>
      <c r="C26" s="723" t="s">
        <v>542</v>
      </c>
      <c r="D26" s="710">
        <f>SUM(D28:D30)</f>
        <v>0</v>
      </c>
      <c r="E26" s="710">
        <f>SUM(E28:E30)</f>
        <v>0</v>
      </c>
      <c r="F26" s="710">
        <f>SUM(F28:F30)</f>
        <v>0</v>
      </c>
      <c r="G26" s="710">
        <f>SUM(G28:G30)</f>
        <v>0</v>
      </c>
    </row>
    <row r="27" spans="1:7" ht="12.75">
      <c r="A27" s="711"/>
      <c r="B27" s="722"/>
      <c r="C27" s="716" t="s">
        <v>213</v>
      </c>
      <c r="D27" s="714"/>
      <c r="E27" s="714"/>
      <c r="F27" s="714"/>
      <c r="G27" s="714"/>
    </row>
    <row r="28" spans="1:7" ht="12.75">
      <c r="A28" s="711"/>
      <c r="B28" s="722"/>
      <c r="C28" s="716"/>
      <c r="D28" s="714"/>
      <c r="E28" s="714"/>
      <c r="F28" s="714"/>
      <c r="G28" s="714"/>
    </row>
    <row r="29" spans="1:7" ht="12.75">
      <c r="A29" s="721"/>
      <c r="B29" s="722"/>
      <c r="C29" s="717"/>
      <c r="D29" s="714"/>
      <c r="E29" s="714"/>
      <c r="F29" s="714"/>
      <c r="G29" s="714"/>
    </row>
    <row r="30" spans="1:7" ht="13.5" thickBot="1">
      <c r="A30" s="721"/>
      <c r="B30" s="722"/>
      <c r="C30" s="718"/>
      <c r="D30" s="719"/>
      <c r="E30" s="719"/>
      <c r="F30" s="719"/>
      <c r="G30" s="719"/>
    </row>
    <row r="31" spans="1:7" ht="26.25" thickBot="1">
      <c r="A31" s="724"/>
      <c r="B31" s="705"/>
      <c r="C31" s="725" t="s">
        <v>216</v>
      </c>
      <c r="D31" s="719">
        <f>D14+D21+D26</f>
        <v>540000</v>
      </c>
      <c r="E31" s="719">
        <f>E14+E21+E26</f>
        <v>0</v>
      </c>
      <c r="F31" s="719">
        <f>F14+F21+F26</f>
        <v>540000</v>
      </c>
      <c r="G31" s="719">
        <f>G14+G21+G26</f>
        <v>0</v>
      </c>
    </row>
    <row r="32" spans="1:7" ht="12.75">
      <c r="A32" s="726"/>
      <c r="B32" s="727"/>
      <c r="C32" s="728"/>
      <c r="D32" s="726"/>
      <c r="E32" s="726"/>
      <c r="F32" s="726"/>
      <c r="G32" s="726"/>
    </row>
    <row r="33" spans="1:3" ht="12.75">
      <c r="A33" s="587" t="s">
        <v>217</v>
      </c>
      <c r="C33" s="587"/>
    </row>
    <row r="34" spans="1:8" ht="13.5">
      <c r="A34" s="729" t="s">
        <v>543</v>
      </c>
      <c r="C34" s="587"/>
      <c r="D34" s="592"/>
      <c r="E34" s="592"/>
      <c r="F34" s="592"/>
      <c r="G34" s="592"/>
      <c r="H34" s="592"/>
    </row>
    <row r="35" spans="1:8" ht="12.75">
      <c r="A35" s="587" t="s">
        <v>218</v>
      </c>
      <c r="C35" s="587"/>
      <c r="D35" s="592"/>
      <c r="E35" s="592"/>
      <c r="F35" s="592"/>
      <c r="G35" s="592"/>
      <c r="H35" s="592"/>
    </row>
    <row r="36" spans="1:8" ht="12.75">
      <c r="A36" s="588" t="s">
        <v>219</v>
      </c>
      <c r="C36" s="587"/>
      <c r="D36" s="592"/>
      <c r="E36" s="592"/>
      <c r="F36" s="592"/>
      <c r="G36" s="592"/>
      <c r="H36" s="592"/>
    </row>
    <row r="37" ht="12.75">
      <c r="A37" s="587" t="s">
        <v>220</v>
      </c>
    </row>
    <row r="38" spans="1:3" ht="12.75">
      <c r="A38" s="587" t="s">
        <v>221</v>
      </c>
      <c r="C38" s="587"/>
    </row>
    <row r="39" spans="1:3" ht="12.75">
      <c r="A39" s="587" t="s">
        <v>222</v>
      </c>
      <c r="C39" s="587"/>
    </row>
    <row r="40" spans="1:3" ht="12.75">
      <c r="A40" s="587" t="s">
        <v>531</v>
      </c>
      <c r="C40" s="587"/>
    </row>
    <row r="41" spans="1:3" ht="12.75">
      <c r="A41" s="587"/>
      <c r="C41" s="587"/>
    </row>
    <row r="42" spans="1:3" ht="12.75">
      <c r="A42" s="730" t="s">
        <v>532</v>
      </c>
      <c r="C42" s="587"/>
    </row>
    <row r="44" spans="1:7" ht="12.75">
      <c r="A44" s="688" t="s">
        <v>533</v>
      </c>
      <c r="C44" s="688" t="s">
        <v>534</v>
      </c>
      <c r="F44" s="688" t="s">
        <v>535</v>
      </c>
      <c r="G44" s="688" t="s">
        <v>550</v>
      </c>
    </row>
    <row r="45" spans="1:7" ht="12.75">
      <c r="A45" s="688" t="s">
        <v>537</v>
      </c>
      <c r="C45" s="731">
        <v>39101</v>
      </c>
      <c r="F45" s="688" t="s">
        <v>537</v>
      </c>
      <c r="G45" s="731">
        <v>39101</v>
      </c>
    </row>
    <row r="46" ht="12.75">
      <c r="C46" s="292"/>
    </row>
  </sheetData>
  <mergeCells count="2">
    <mergeCell ref="A9:G9"/>
    <mergeCell ref="A8:G8"/>
  </mergeCells>
  <printOptions horizontalCentered="1"/>
  <pageMargins left="2.04" right="0.2755905511811024" top="0.96" bottom="0.2362204724409449" header="0.45" footer="0.2362204724409449"/>
  <pageSetup horizontalDpi="300" verticalDpi="300" orientation="landscape" paperSize="9" scale="70" r:id="rId1"/>
  <headerFooter alignWithMargins="0">
    <oddHeader>&amp;R&amp;"Arial CE,Tučné"&amp;11Příloha č. 8</oddHeader>
    <oddFooter>&amp;C33</oddFooter>
  </headerFooter>
</worksheet>
</file>

<file path=xl/worksheets/sheet16.xml><?xml version="1.0" encoding="utf-8"?>
<worksheet xmlns="http://schemas.openxmlformats.org/spreadsheetml/2006/main" xmlns:r="http://schemas.openxmlformats.org/officeDocument/2006/relationships">
  <dimension ref="A1:H45"/>
  <sheetViews>
    <sheetView workbookViewId="0" topLeftCell="A16">
      <selection activeCell="C4" sqref="C4"/>
    </sheetView>
  </sheetViews>
  <sheetFormatPr defaultColWidth="9.00390625" defaultRowHeight="12.75"/>
  <cols>
    <col min="1" max="1" width="17.375" style="688" customWidth="1"/>
    <col min="2" max="2" width="8.75390625" style="688" customWidth="1"/>
    <col min="3" max="3" width="50.75390625" style="688" customWidth="1"/>
    <col min="4" max="4" width="15.75390625" style="688" customWidth="1"/>
    <col min="5" max="5" width="15.625" style="688" customWidth="1"/>
    <col min="6" max="6" width="15.75390625" style="688" customWidth="1"/>
    <col min="7" max="7" width="16.375" style="688" customWidth="1"/>
    <col min="8" max="8" width="13.375" style="688" customWidth="1"/>
    <col min="9" max="16384" width="9.125" style="688" customWidth="1"/>
  </cols>
  <sheetData>
    <row r="1" spans="2:7" ht="12.75">
      <c r="B1" s="689"/>
      <c r="C1" s="690"/>
      <c r="F1" s="592" t="s">
        <v>198</v>
      </c>
      <c r="G1" s="592"/>
    </row>
    <row r="2" ht="12.75">
      <c r="B2" s="691"/>
    </row>
    <row r="4" ht="12.75">
      <c r="A4" s="688" t="s">
        <v>558</v>
      </c>
    </row>
    <row r="5" ht="12.75">
      <c r="A5" s="688" t="s">
        <v>199</v>
      </c>
    </row>
    <row r="6" spans="1:3" ht="12.75">
      <c r="A6" s="688" t="s">
        <v>200</v>
      </c>
      <c r="C6" s="692" t="s">
        <v>551</v>
      </c>
    </row>
    <row r="8" spans="1:7" ht="14.25">
      <c r="A8" s="826" t="s">
        <v>539</v>
      </c>
      <c r="B8" s="826"/>
      <c r="C8" s="826"/>
      <c r="D8" s="826"/>
      <c r="E8" s="826"/>
      <c r="F8" s="826"/>
      <c r="G8" s="826"/>
    </row>
    <row r="9" spans="1:7" ht="12.75">
      <c r="A9" s="813" t="s">
        <v>540</v>
      </c>
      <c r="B9" s="826"/>
      <c r="C9" s="826"/>
      <c r="D9" s="826"/>
      <c r="E9" s="826"/>
      <c r="F9" s="826"/>
      <c r="G9" s="826"/>
    </row>
    <row r="10" spans="1:7" ht="12.75">
      <c r="A10" s="693"/>
      <c r="B10" s="693"/>
      <c r="C10" s="693"/>
      <c r="D10" s="693"/>
      <c r="E10" s="693"/>
      <c r="F10" s="693"/>
      <c r="G10" s="693"/>
    </row>
    <row r="11" ht="13.5" thickBot="1">
      <c r="G11" s="694" t="s">
        <v>100</v>
      </c>
    </row>
    <row r="12" spans="1:8" s="703" customFormat="1" ht="64.5" thickBot="1">
      <c r="A12" s="732" t="s">
        <v>101</v>
      </c>
      <c r="B12" s="732" t="s">
        <v>552</v>
      </c>
      <c r="C12" s="732" t="s">
        <v>109</v>
      </c>
      <c r="D12" s="732" t="s">
        <v>545</v>
      </c>
      <c r="E12" s="732" t="s">
        <v>553</v>
      </c>
      <c r="F12" s="732" t="s">
        <v>554</v>
      </c>
      <c r="G12" s="701" t="s">
        <v>555</v>
      </c>
      <c r="H12" s="702"/>
    </row>
    <row r="13" spans="1:7" ht="13.5" thickBot="1">
      <c r="A13" s="704" t="s">
        <v>208</v>
      </c>
      <c r="B13" s="705" t="s">
        <v>209</v>
      </c>
      <c r="C13" s="704" t="s">
        <v>210</v>
      </c>
      <c r="D13" s="704">
        <v>1</v>
      </c>
      <c r="E13" s="704">
        <v>2</v>
      </c>
      <c r="F13" s="704">
        <v>3</v>
      </c>
      <c r="G13" s="704" t="s">
        <v>211</v>
      </c>
    </row>
    <row r="14" spans="1:7" ht="13.5" thickBot="1">
      <c r="A14" s="733"/>
      <c r="B14" s="705"/>
      <c r="C14" s="734" t="s">
        <v>212</v>
      </c>
      <c r="D14" s="710">
        <f>SUM(D16:D20)</f>
        <v>3180000</v>
      </c>
      <c r="E14" s="710">
        <f>SUM(E16:E20)</f>
        <v>0</v>
      </c>
      <c r="F14" s="710">
        <f>SUM(F16:F20)</f>
        <v>3180000</v>
      </c>
      <c r="G14" s="710">
        <f>SUM(G16:G20)</f>
        <v>0</v>
      </c>
    </row>
    <row r="15" spans="1:7" ht="12.75">
      <c r="A15" s="721"/>
      <c r="B15" s="722"/>
      <c r="C15" s="713" t="s">
        <v>213</v>
      </c>
      <c r="D15" s="714"/>
      <c r="E15" s="714"/>
      <c r="F15" s="714"/>
      <c r="G15" s="715"/>
    </row>
    <row r="16" spans="1:7" ht="12.75">
      <c r="A16" s="721"/>
      <c r="B16" s="722">
        <v>34352</v>
      </c>
      <c r="C16" s="716" t="s">
        <v>556</v>
      </c>
      <c r="D16" s="714">
        <v>1000000</v>
      </c>
      <c r="E16" s="714">
        <v>0</v>
      </c>
      <c r="F16" s="714">
        <v>1000000</v>
      </c>
      <c r="G16" s="714">
        <f>D16-E16-F16</f>
        <v>0</v>
      </c>
    </row>
    <row r="17" spans="1:7" ht="12.75">
      <c r="A17" s="721"/>
      <c r="B17" s="722">
        <v>34352</v>
      </c>
      <c r="C17" s="717" t="s">
        <v>556</v>
      </c>
      <c r="D17" s="714">
        <v>1640000</v>
      </c>
      <c r="E17" s="714">
        <v>0</v>
      </c>
      <c r="F17" s="714">
        <v>1640000</v>
      </c>
      <c r="G17" s="714">
        <f>D17-E17-F17</f>
        <v>0</v>
      </c>
    </row>
    <row r="18" spans="1:7" ht="12.75">
      <c r="A18" s="721"/>
      <c r="B18" s="722">
        <v>34352</v>
      </c>
      <c r="C18" s="717" t="s">
        <v>557</v>
      </c>
      <c r="D18" s="714">
        <v>540000</v>
      </c>
      <c r="E18" s="714">
        <v>0</v>
      </c>
      <c r="F18" s="714">
        <v>540000</v>
      </c>
      <c r="G18" s="714">
        <f>D18-E18-F18</f>
        <v>0</v>
      </c>
    </row>
    <row r="19" spans="1:7" ht="12.75">
      <c r="A19" s="721"/>
      <c r="B19" s="722"/>
      <c r="C19" s="717"/>
      <c r="D19" s="714"/>
      <c r="E19" s="714"/>
      <c r="F19" s="714"/>
      <c r="G19" s="714"/>
    </row>
    <row r="20" spans="1:7" ht="13.5" thickBot="1">
      <c r="A20" s="721"/>
      <c r="B20" s="722"/>
      <c r="C20" s="718"/>
      <c r="D20" s="719"/>
      <c r="E20" s="719"/>
      <c r="F20" s="719"/>
      <c r="G20" s="719"/>
    </row>
    <row r="21" spans="1:7" ht="13.5" thickBot="1">
      <c r="A21" s="733"/>
      <c r="B21" s="705"/>
      <c r="C21" s="720" t="s">
        <v>541</v>
      </c>
      <c r="D21" s="710">
        <f>SUM(D23:D25)</f>
        <v>0</v>
      </c>
      <c r="E21" s="710">
        <f>SUM(E23:E25)</f>
        <v>0</v>
      </c>
      <c r="F21" s="710">
        <f>SUM(F23:F25)</f>
        <v>0</v>
      </c>
      <c r="G21" s="710">
        <f>SUM(G23:G25)</f>
        <v>0</v>
      </c>
    </row>
    <row r="22" spans="1:7" ht="12.75">
      <c r="A22" s="721"/>
      <c r="B22" s="722"/>
      <c r="C22" s="713" t="s">
        <v>213</v>
      </c>
      <c r="D22" s="714"/>
      <c r="E22" s="714"/>
      <c r="F22" s="714"/>
      <c r="G22" s="714"/>
    </row>
    <row r="23" spans="1:7" ht="12.75">
      <c r="A23" s="721"/>
      <c r="B23" s="722"/>
      <c r="C23" s="717"/>
      <c r="D23" s="714"/>
      <c r="E23" s="714"/>
      <c r="F23" s="714"/>
      <c r="G23" s="714"/>
    </row>
    <row r="24" spans="1:7" ht="12.75">
      <c r="A24" s="721"/>
      <c r="B24" s="722"/>
      <c r="C24" s="717"/>
      <c r="D24" s="714"/>
      <c r="E24" s="714"/>
      <c r="F24" s="714"/>
      <c r="G24" s="714"/>
    </row>
    <row r="25" spans="1:7" ht="13.5" thickBot="1">
      <c r="A25" s="721"/>
      <c r="B25" s="722"/>
      <c r="C25" s="717"/>
      <c r="D25" s="714"/>
      <c r="E25" s="714"/>
      <c r="F25" s="714"/>
      <c r="G25" s="719"/>
    </row>
    <row r="26" spans="1:7" ht="13.5" thickBot="1">
      <c r="A26" s="733"/>
      <c r="B26" s="705"/>
      <c r="C26" s="723" t="s">
        <v>542</v>
      </c>
      <c r="D26" s="710">
        <f>SUM(D28:D30)</f>
        <v>0</v>
      </c>
      <c r="E26" s="710">
        <f>SUM(E28:E30)</f>
        <v>0</v>
      </c>
      <c r="F26" s="710">
        <f>SUM(F28:F30)</f>
        <v>0</v>
      </c>
      <c r="G26" s="710">
        <f>SUM(G28:G30)</f>
        <v>0</v>
      </c>
    </row>
    <row r="27" spans="1:7" ht="12.75">
      <c r="A27" s="721"/>
      <c r="B27" s="722"/>
      <c r="C27" s="716" t="s">
        <v>213</v>
      </c>
      <c r="D27" s="714"/>
      <c r="E27" s="714"/>
      <c r="F27" s="714"/>
      <c r="G27" s="714"/>
    </row>
    <row r="28" spans="1:7" ht="12.75">
      <c r="A28" s="721"/>
      <c r="B28" s="722"/>
      <c r="C28" s="716"/>
      <c r="D28" s="714"/>
      <c r="E28" s="714"/>
      <c r="F28" s="714"/>
      <c r="G28" s="714"/>
    </row>
    <row r="29" spans="1:7" ht="12.75">
      <c r="A29" s="721"/>
      <c r="B29" s="722"/>
      <c r="C29" s="717"/>
      <c r="D29" s="714"/>
      <c r="E29" s="714"/>
      <c r="F29" s="714"/>
      <c r="G29" s="714"/>
    </row>
    <row r="30" spans="1:7" ht="13.5" thickBot="1">
      <c r="A30" s="721"/>
      <c r="B30" s="722"/>
      <c r="C30" s="718"/>
      <c r="D30" s="719"/>
      <c r="E30" s="719"/>
      <c r="F30" s="719"/>
      <c r="G30" s="719"/>
    </row>
    <row r="31" spans="1:7" ht="26.25" thickBot="1">
      <c r="A31" s="724"/>
      <c r="B31" s="705"/>
      <c r="C31" s="725" t="s">
        <v>216</v>
      </c>
      <c r="D31" s="719">
        <f>D14+D21+D26</f>
        <v>3180000</v>
      </c>
      <c r="E31" s="719">
        <f>E14+E21+E26</f>
        <v>0</v>
      </c>
      <c r="F31" s="719">
        <f>F14+F21+F26</f>
        <v>3180000</v>
      </c>
      <c r="G31" s="719">
        <f>G14+G21+G26</f>
        <v>0</v>
      </c>
    </row>
    <row r="32" spans="1:7" ht="12.75">
      <c r="A32" s="726"/>
      <c r="B32" s="727"/>
      <c r="C32" s="728"/>
      <c r="D32" s="726"/>
      <c r="E32" s="726"/>
      <c r="F32" s="726"/>
      <c r="G32" s="726"/>
    </row>
    <row r="33" ht="12.75">
      <c r="A33" s="688" t="s">
        <v>217</v>
      </c>
    </row>
    <row r="34" spans="1:8" ht="13.5">
      <c r="A34" s="729" t="s">
        <v>543</v>
      </c>
      <c r="C34" s="587"/>
      <c r="D34" s="592"/>
      <c r="E34" s="592"/>
      <c r="F34" s="592"/>
      <c r="G34" s="592"/>
      <c r="H34" s="592"/>
    </row>
    <row r="35" spans="1:8" ht="12.75">
      <c r="A35" s="587" t="s">
        <v>218</v>
      </c>
      <c r="C35" s="587"/>
      <c r="D35" s="592"/>
      <c r="E35" s="592"/>
      <c r="F35" s="592"/>
      <c r="G35" s="592"/>
      <c r="H35" s="592"/>
    </row>
    <row r="36" spans="1:8" ht="12.75">
      <c r="A36" s="588" t="s">
        <v>219</v>
      </c>
      <c r="C36" s="587"/>
      <c r="D36" s="592"/>
      <c r="E36" s="592"/>
      <c r="F36" s="592"/>
      <c r="G36" s="592"/>
      <c r="H36" s="592"/>
    </row>
    <row r="37" ht="12.75">
      <c r="A37" s="587" t="s">
        <v>220</v>
      </c>
    </row>
    <row r="38" spans="1:3" ht="12.75">
      <c r="A38" s="587" t="s">
        <v>221</v>
      </c>
      <c r="C38" s="587"/>
    </row>
    <row r="39" spans="1:3" ht="12.75">
      <c r="A39" s="587" t="s">
        <v>222</v>
      </c>
      <c r="C39" s="587"/>
    </row>
    <row r="40" spans="1:3" ht="12.75">
      <c r="A40" s="587" t="s">
        <v>531</v>
      </c>
      <c r="C40" s="587"/>
    </row>
    <row r="41" spans="1:3" ht="12.75">
      <c r="A41" s="587"/>
      <c r="C41" s="587"/>
    </row>
    <row r="42" spans="1:3" ht="12.75">
      <c r="A42" s="730" t="s">
        <v>532</v>
      </c>
      <c r="C42" s="587"/>
    </row>
    <row r="44" spans="1:7" ht="12.75">
      <c r="A44" s="688" t="s">
        <v>533</v>
      </c>
      <c r="C44" s="688" t="s">
        <v>534</v>
      </c>
      <c r="F44" s="688" t="s">
        <v>535</v>
      </c>
      <c r="G44" s="688" t="s">
        <v>550</v>
      </c>
    </row>
    <row r="45" spans="1:7" ht="12.75">
      <c r="A45" s="688" t="s">
        <v>537</v>
      </c>
      <c r="C45" s="731">
        <v>39101</v>
      </c>
      <c r="F45" s="688" t="s">
        <v>537</v>
      </c>
      <c r="G45" s="731">
        <v>39101</v>
      </c>
    </row>
  </sheetData>
  <mergeCells count="2">
    <mergeCell ref="A9:G9"/>
    <mergeCell ref="A8:G8"/>
  </mergeCells>
  <printOptions horizontalCentered="1" verticalCentered="1"/>
  <pageMargins left="2.22" right="0.2755905511811024" top="0.8" bottom="0.2362204724409449" header="0.54" footer="0.2362204724409449"/>
  <pageSetup horizontalDpi="300" verticalDpi="300" orientation="landscape" paperSize="9" scale="70" r:id="rId1"/>
  <headerFooter alignWithMargins="0">
    <oddHeader>&amp;R&amp;"Arial CE,Tučné"&amp;11Příloha č. 8</oddHeader>
    <oddFooter>&amp;C34</oddFooter>
  </headerFooter>
</worksheet>
</file>

<file path=xl/worksheets/sheet17.xml><?xml version="1.0" encoding="utf-8"?>
<worksheet xmlns="http://schemas.openxmlformats.org/spreadsheetml/2006/main" xmlns:r="http://schemas.openxmlformats.org/officeDocument/2006/relationships">
  <dimension ref="A1:H45"/>
  <sheetViews>
    <sheetView workbookViewId="0" topLeftCell="A13">
      <selection activeCell="C25" sqref="C25"/>
    </sheetView>
  </sheetViews>
  <sheetFormatPr defaultColWidth="9.00390625" defaultRowHeight="12.75"/>
  <cols>
    <col min="1" max="1" width="17.375" style="688" customWidth="1"/>
    <col min="2" max="2" width="9.125" style="688" customWidth="1"/>
    <col min="3" max="3" width="50.75390625" style="688" customWidth="1"/>
    <col min="4" max="7" width="15.625" style="688" customWidth="1"/>
    <col min="8" max="8" width="13.375" style="688" customWidth="1"/>
    <col min="9" max="16384" width="9.125" style="688" customWidth="1"/>
  </cols>
  <sheetData>
    <row r="1" spans="2:7" ht="12.75">
      <c r="B1" s="689"/>
      <c r="C1" s="690"/>
      <c r="F1" s="592" t="s">
        <v>198</v>
      </c>
      <c r="G1" s="592"/>
    </row>
    <row r="2" ht="12.75">
      <c r="B2" s="691"/>
    </row>
    <row r="4" ht="12.75">
      <c r="A4" s="688" t="s">
        <v>538</v>
      </c>
    </row>
    <row r="5" ht="12.75">
      <c r="A5" s="688" t="s">
        <v>199</v>
      </c>
    </row>
    <row r="6" spans="1:3" ht="12.75">
      <c r="A6" s="688" t="s">
        <v>200</v>
      </c>
      <c r="C6" s="692" t="s">
        <v>559</v>
      </c>
    </row>
    <row r="7" ht="12.75">
      <c r="C7" s="692"/>
    </row>
    <row r="8" spans="1:7" ht="14.25">
      <c r="A8" s="826" t="s">
        <v>539</v>
      </c>
      <c r="B8" s="826"/>
      <c r="C8" s="826"/>
      <c r="D8" s="826"/>
      <c r="E8" s="826"/>
      <c r="F8" s="826"/>
      <c r="G8" s="826"/>
    </row>
    <row r="9" spans="1:7" ht="12.75">
      <c r="A9" s="813" t="s">
        <v>540</v>
      </c>
      <c r="B9" s="826"/>
      <c r="C9" s="826"/>
      <c r="D9" s="826"/>
      <c r="E9" s="826"/>
      <c r="F9" s="826"/>
      <c r="G9" s="826"/>
    </row>
    <row r="10" spans="1:7" ht="12.75">
      <c r="A10" s="693"/>
      <c r="B10" s="693"/>
      <c r="C10" s="693"/>
      <c r="D10" s="693"/>
      <c r="E10" s="693"/>
      <c r="F10" s="693"/>
      <c r="G10" s="693"/>
    </row>
    <row r="11" ht="13.5" thickBot="1">
      <c r="G11" s="694" t="s">
        <v>100</v>
      </c>
    </row>
    <row r="12" spans="1:8" s="703" customFormat="1" ht="77.25" thickBot="1">
      <c r="A12" s="732" t="s">
        <v>101</v>
      </c>
      <c r="B12" s="732" t="s">
        <v>102</v>
      </c>
      <c r="C12" s="732" t="s">
        <v>109</v>
      </c>
      <c r="D12" s="732" t="s">
        <v>545</v>
      </c>
      <c r="E12" s="732" t="s">
        <v>560</v>
      </c>
      <c r="F12" s="732" t="s">
        <v>554</v>
      </c>
      <c r="G12" s="732" t="s">
        <v>561</v>
      </c>
      <c r="H12" s="702"/>
    </row>
    <row r="13" spans="1:7" ht="13.5" thickBot="1">
      <c r="A13" s="704" t="s">
        <v>208</v>
      </c>
      <c r="B13" s="705" t="s">
        <v>209</v>
      </c>
      <c r="C13" s="704" t="s">
        <v>210</v>
      </c>
      <c r="D13" s="704">
        <v>1</v>
      </c>
      <c r="E13" s="704">
        <v>2</v>
      </c>
      <c r="F13" s="704">
        <v>3</v>
      </c>
      <c r="G13" s="704" t="s">
        <v>211</v>
      </c>
    </row>
    <row r="14" spans="1:7" ht="13.5" thickBot="1">
      <c r="A14" s="733"/>
      <c r="B14" s="705"/>
      <c r="C14" s="709" t="s">
        <v>212</v>
      </c>
      <c r="D14" s="710">
        <f>SUM(D16:D20)</f>
        <v>360000</v>
      </c>
      <c r="E14" s="710">
        <f>SUM(E16:E20)</f>
        <v>0</v>
      </c>
      <c r="F14" s="710">
        <f>SUM(F16:F20)</f>
        <v>360000</v>
      </c>
      <c r="G14" s="710">
        <f>SUM(G16:G20)</f>
        <v>0</v>
      </c>
    </row>
    <row r="15" spans="1:7" ht="12.75">
      <c r="A15" s="721"/>
      <c r="B15" s="722"/>
      <c r="C15" s="713" t="s">
        <v>213</v>
      </c>
      <c r="D15" s="714"/>
      <c r="E15" s="714"/>
      <c r="F15" s="714"/>
      <c r="G15" s="715"/>
    </row>
    <row r="16" spans="1:7" ht="12.75">
      <c r="A16" s="721"/>
      <c r="B16" s="722">
        <v>22460</v>
      </c>
      <c r="C16" s="716" t="s">
        <v>562</v>
      </c>
      <c r="D16" s="714">
        <v>360000</v>
      </c>
      <c r="E16" s="714">
        <v>0</v>
      </c>
      <c r="F16" s="714">
        <v>360000</v>
      </c>
      <c r="G16" s="714">
        <f>D16-E16-F16</f>
        <v>0</v>
      </c>
    </row>
    <row r="17" spans="1:7" ht="12.75">
      <c r="A17" s="721"/>
      <c r="B17" s="722"/>
      <c r="C17" s="717"/>
      <c r="D17" s="714"/>
      <c r="E17" s="714"/>
      <c r="F17" s="714"/>
      <c r="G17" s="714"/>
    </row>
    <row r="18" spans="1:7" ht="12.75">
      <c r="A18" s="721"/>
      <c r="B18" s="722"/>
      <c r="C18" s="717"/>
      <c r="D18" s="714"/>
      <c r="E18" s="714"/>
      <c r="F18" s="714"/>
      <c r="G18" s="714"/>
    </row>
    <row r="19" spans="1:7" ht="12.75">
      <c r="A19" s="721"/>
      <c r="B19" s="722"/>
      <c r="C19" s="717"/>
      <c r="D19" s="714"/>
      <c r="E19" s="714"/>
      <c r="F19" s="714"/>
      <c r="G19" s="714"/>
    </row>
    <row r="20" spans="1:7" ht="13.5" thickBot="1">
      <c r="A20" s="721"/>
      <c r="B20" s="722"/>
      <c r="C20" s="718"/>
      <c r="D20" s="719"/>
      <c r="E20" s="719"/>
      <c r="F20" s="719"/>
      <c r="G20" s="719"/>
    </row>
    <row r="21" spans="1:7" ht="13.5" thickBot="1">
      <c r="A21" s="733"/>
      <c r="B21" s="705"/>
      <c r="C21" s="720" t="s">
        <v>541</v>
      </c>
      <c r="D21" s="710">
        <f>SUM(D23:D25)</f>
        <v>0</v>
      </c>
      <c r="E21" s="710">
        <f>SUM(E23:E25)</f>
        <v>0</v>
      </c>
      <c r="F21" s="710">
        <f>SUM(F23:F25)</f>
        <v>0</v>
      </c>
      <c r="G21" s="710">
        <f>SUM(G23:G25)</f>
        <v>0</v>
      </c>
    </row>
    <row r="22" spans="1:7" ht="12.75">
      <c r="A22" s="721"/>
      <c r="B22" s="722"/>
      <c r="C22" s="713" t="s">
        <v>213</v>
      </c>
      <c r="D22" s="714"/>
      <c r="E22" s="714"/>
      <c r="F22" s="714"/>
      <c r="G22" s="714"/>
    </row>
    <row r="23" spans="1:7" ht="12.75">
      <c r="A23" s="721"/>
      <c r="B23" s="722"/>
      <c r="C23" s="717"/>
      <c r="D23" s="714"/>
      <c r="E23" s="714"/>
      <c r="F23" s="714"/>
      <c r="G23" s="714"/>
    </row>
    <row r="24" spans="1:7" ht="12.75">
      <c r="A24" s="721"/>
      <c r="B24" s="722"/>
      <c r="C24" s="717"/>
      <c r="D24" s="714"/>
      <c r="E24" s="714"/>
      <c r="F24" s="714"/>
      <c r="G24" s="714"/>
    </row>
    <row r="25" spans="1:7" ht="13.5" thickBot="1">
      <c r="A25" s="721"/>
      <c r="B25" s="722"/>
      <c r="C25" s="717"/>
      <c r="D25" s="714"/>
      <c r="E25" s="714"/>
      <c r="F25" s="714"/>
      <c r="G25" s="719"/>
    </row>
    <row r="26" spans="1:7" ht="13.5" thickBot="1">
      <c r="A26" s="733"/>
      <c r="B26" s="705"/>
      <c r="C26" s="723" t="s">
        <v>542</v>
      </c>
      <c r="D26" s="710">
        <f>SUM(D28:D30)</f>
        <v>0</v>
      </c>
      <c r="E26" s="710">
        <f>SUM(E28:E30)</f>
        <v>0</v>
      </c>
      <c r="F26" s="710">
        <f>SUM(F28:F30)</f>
        <v>0</v>
      </c>
      <c r="G26" s="710">
        <f>SUM(G28:G30)</f>
        <v>0</v>
      </c>
    </row>
    <row r="27" spans="1:7" ht="12.75">
      <c r="A27" s="721"/>
      <c r="B27" s="722"/>
      <c r="C27" s="716" t="s">
        <v>213</v>
      </c>
      <c r="D27" s="714"/>
      <c r="E27" s="714"/>
      <c r="F27" s="714"/>
      <c r="G27" s="714"/>
    </row>
    <row r="28" spans="1:7" ht="12.75">
      <c r="A28" s="721"/>
      <c r="B28" s="722"/>
      <c r="C28" s="716"/>
      <c r="D28" s="714"/>
      <c r="E28" s="714"/>
      <c r="F28" s="714"/>
      <c r="G28" s="714"/>
    </row>
    <row r="29" spans="1:7" ht="12.75">
      <c r="A29" s="721"/>
      <c r="B29" s="722"/>
      <c r="C29" s="717"/>
      <c r="D29" s="714"/>
      <c r="E29" s="714"/>
      <c r="F29" s="714"/>
      <c r="G29" s="714"/>
    </row>
    <row r="30" spans="1:7" ht="13.5" thickBot="1">
      <c r="A30" s="721"/>
      <c r="B30" s="722"/>
      <c r="C30" s="718"/>
      <c r="D30" s="719"/>
      <c r="E30" s="719"/>
      <c r="F30" s="719"/>
      <c r="G30" s="719"/>
    </row>
    <row r="31" spans="1:7" ht="26.25" thickBot="1">
      <c r="A31" s="724"/>
      <c r="B31" s="705"/>
      <c r="C31" s="725" t="s">
        <v>216</v>
      </c>
      <c r="D31" s="719">
        <f>D14+D21+D26</f>
        <v>360000</v>
      </c>
      <c r="E31" s="719">
        <f>E14+E21+E26</f>
        <v>0</v>
      </c>
      <c r="F31" s="719">
        <f>F14+F21+F26</f>
        <v>360000</v>
      </c>
      <c r="G31" s="719">
        <f>G14+G21+G26</f>
        <v>0</v>
      </c>
    </row>
    <row r="32" spans="1:7" ht="12.75">
      <c r="A32" s="726"/>
      <c r="B32" s="727"/>
      <c r="C32" s="728"/>
      <c r="D32" s="726"/>
      <c r="E32" s="726"/>
      <c r="F32" s="726"/>
      <c r="G32" s="726"/>
    </row>
    <row r="33" spans="1:3" ht="12.75">
      <c r="A33" s="587" t="s">
        <v>217</v>
      </c>
      <c r="C33" s="587"/>
    </row>
    <row r="34" spans="1:8" ht="13.5">
      <c r="A34" s="729" t="s">
        <v>543</v>
      </c>
      <c r="C34" s="587"/>
      <c r="D34" s="592"/>
      <c r="E34" s="592"/>
      <c r="F34" s="592"/>
      <c r="G34" s="592"/>
      <c r="H34" s="592"/>
    </row>
    <row r="35" spans="1:8" ht="12.75">
      <c r="A35" s="587" t="s">
        <v>218</v>
      </c>
      <c r="C35" s="587"/>
      <c r="D35" s="592"/>
      <c r="E35" s="592"/>
      <c r="F35" s="592"/>
      <c r="G35" s="592"/>
      <c r="H35" s="592"/>
    </row>
    <row r="36" spans="1:8" ht="12.75">
      <c r="A36" s="588" t="s">
        <v>219</v>
      </c>
      <c r="C36" s="587"/>
      <c r="D36" s="592"/>
      <c r="E36" s="592"/>
      <c r="F36" s="592"/>
      <c r="G36" s="592"/>
      <c r="H36" s="592"/>
    </row>
    <row r="37" ht="12.75">
      <c r="A37" s="587" t="s">
        <v>220</v>
      </c>
    </row>
    <row r="38" spans="1:3" ht="12.75">
      <c r="A38" s="587" t="s">
        <v>221</v>
      </c>
      <c r="C38" s="587"/>
    </row>
    <row r="39" spans="1:3" ht="12.75">
      <c r="A39" s="587" t="s">
        <v>222</v>
      </c>
      <c r="C39" s="587"/>
    </row>
    <row r="40" spans="1:3" ht="12.75">
      <c r="A40" s="587" t="s">
        <v>531</v>
      </c>
      <c r="C40" s="587"/>
    </row>
    <row r="41" spans="1:3" ht="12.75">
      <c r="A41" s="587"/>
      <c r="C41" s="587"/>
    </row>
    <row r="42" spans="1:3" ht="12.75">
      <c r="A42" s="730" t="s">
        <v>532</v>
      </c>
      <c r="C42" s="587"/>
    </row>
    <row r="44" spans="1:7" ht="12.75">
      <c r="A44" s="688" t="s">
        <v>533</v>
      </c>
      <c r="C44" s="688" t="s">
        <v>534</v>
      </c>
      <c r="F44" s="688" t="s">
        <v>535</v>
      </c>
      <c r="G44" s="688" t="s">
        <v>550</v>
      </c>
    </row>
    <row r="45" spans="1:7" ht="12.75">
      <c r="A45" s="688" t="s">
        <v>537</v>
      </c>
      <c r="C45" s="731">
        <v>39101</v>
      </c>
      <c r="F45" s="688" t="s">
        <v>537</v>
      </c>
      <c r="G45" s="731">
        <v>39101</v>
      </c>
    </row>
  </sheetData>
  <mergeCells count="2">
    <mergeCell ref="A9:G9"/>
    <mergeCell ref="A8:G8"/>
  </mergeCells>
  <printOptions horizontalCentered="1"/>
  <pageMargins left="2.26" right="0.2755905511811024" top="1.07" bottom="0.2362204724409449" header="0.48" footer="0.2362204724409449"/>
  <pageSetup horizontalDpi="300" verticalDpi="300" orientation="landscape" paperSize="9" scale="70" r:id="rId1"/>
  <headerFooter alignWithMargins="0">
    <oddHeader>&amp;R&amp;"Arial CE,Tučné"&amp;11Příloha č. 8</oddHeader>
    <oddFooter>&amp;C35</oddFooter>
  </headerFooter>
</worksheet>
</file>

<file path=xl/worksheets/sheet18.xml><?xml version="1.0" encoding="utf-8"?>
<worksheet xmlns="http://schemas.openxmlformats.org/spreadsheetml/2006/main" xmlns:r="http://schemas.openxmlformats.org/officeDocument/2006/relationships">
  <dimension ref="A1:H45"/>
  <sheetViews>
    <sheetView workbookViewId="0" topLeftCell="A7">
      <selection activeCell="C25" sqref="C25"/>
    </sheetView>
  </sheetViews>
  <sheetFormatPr defaultColWidth="9.00390625" defaultRowHeight="12.75"/>
  <cols>
    <col min="1" max="1" width="17.375" style="688" customWidth="1"/>
    <col min="2" max="2" width="9.00390625" style="688" customWidth="1"/>
    <col min="3" max="3" width="50.75390625" style="688" customWidth="1"/>
    <col min="4" max="7" width="15.625" style="688" customWidth="1"/>
    <col min="8" max="8" width="13.375" style="688" customWidth="1"/>
    <col min="9" max="16384" width="9.125" style="688" customWidth="1"/>
  </cols>
  <sheetData>
    <row r="1" spans="2:7" ht="12.75">
      <c r="B1" s="689"/>
      <c r="C1" s="690"/>
      <c r="F1" s="592" t="s">
        <v>198</v>
      </c>
      <c r="G1" s="592"/>
    </row>
    <row r="2" ht="12.75">
      <c r="B2" s="691"/>
    </row>
    <row r="4" ht="12.75">
      <c r="A4" s="688" t="s">
        <v>538</v>
      </c>
    </row>
    <row r="5" ht="12.75">
      <c r="A5" s="688" t="s">
        <v>199</v>
      </c>
    </row>
    <row r="6" spans="1:3" ht="12.75">
      <c r="A6" s="688" t="s">
        <v>200</v>
      </c>
      <c r="C6" s="692" t="s">
        <v>563</v>
      </c>
    </row>
    <row r="7" ht="12.75">
      <c r="C7" s="692"/>
    </row>
    <row r="8" spans="1:7" ht="14.25">
      <c r="A8" s="826" t="s">
        <v>539</v>
      </c>
      <c r="B8" s="826"/>
      <c r="C8" s="826"/>
      <c r="D8" s="826"/>
      <c r="E8" s="826"/>
      <c r="F8" s="826"/>
      <c r="G8" s="826"/>
    </row>
    <row r="9" spans="1:7" ht="12.75">
      <c r="A9" s="813" t="s">
        <v>540</v>
      </c>
      <c r="B9" s="826"/>
      <c r="C9" s="826"/>
      <c r="D9" s="826"/>
      <c r="E9" s="826"/>
      <c r="F9" s="826"/>
      <c r="G9" s="826"/>
    </row>
    <row r="10" spans="1:7" ht="12.75">
      <c r="A10" s="693"/>
      <c r="B10" s="693"/>
      <c r="C10" s="693"/>
      <c r="D10" s="693"/>
      <c r="E10" s="693"/>
      <c r="F10" s="693"/>
      <c r="G10" s="693"/>
    </row>
    <row r="11" ht="13.5" thickBot="1">
      <c r="G11" s="694" t="s">
        <v>100</v>
      </c>
    </row>
    <row r="12" spans="1:8" s="703" customFormat="1" ht="77.25" thickBot="1">
      <c r="A12" s="732" t="s">
        <v>101</v>
      </c>
      <c r="B12" s="732" t="s">
        <v>552</v>
      </c>
      <c r="C12" s="732" t="s">
        <v>109</v>
      </c>
      <c r="D12" s="732" t="s">
        <v>545</v>
      </c>
      <c r="E12" s="732" t="s">
        <v>564</v>
      </c>
      <c r="F12" s="732" t="s">
        <v>565</v>
      </c>
      <c r="G12" s="701" t="s">
        <v>566</v>
      </c>
      <c r="H12" s="702"/>
    </row>
    <row r="13" spans="1:7" ht="13.5" thickBot="1">
      <c r="A13" s="704" t="s">
        <v>208</v>
      </c>
      <c r="B13" s="705" t="s">
        <v>209</v>
      </c>
      <c r="C13" s="704" t="s">
        <v>210</v>
      </c>
      <c r="D13" s="704">
        <v>1</v>
      </c>
      <c r="E13" s="704">
        <v>2</v>
      </c>
      <c r="F13" s="704">
        <v>3</v>
      </c>
      <c r="G13" s="704" t="s">
        <v>211</v>
      </c>
    </row>
    <row r="14" spans="1:7" ht="13.5" thickBot="1">
      <c r="A14" s="733"/>
      <c r="B14" s="705"/>
      <c r="C14" s="709" t="s">
        <v>212</v>
      </c>
      <c r="D14" s="710">
        <f>SUM(D16:D20)</f>
        <v>960000</v>
      </c>
      <c r="E14" s="710">
        <f>SUM(E16:E20)</f>
        <v>0</v>
      </c>
      <c r="F14" s="710">
        <f>SUM(F16:F20)</f>
        <v>825361.5</v>
      </c>
      <c r="G14" s="710">
        <f>SUM(G16:G20)</f>
        <v>134638.5</v>
      </c>
    </row>
    <row r="15" spans="1:7" ht="12.75">
      <c r="A15" s="721"/>
      <c r="B15" s="722"/>
      <c r="C15" s="713" t="s">
        <v>213</v>
      </c>
      <c r="D15" s="714"/>
      <c r="E15" s="714"/>
      <c r="F15" s="714"/>
      <c r="G15" s="715"/>
    </row>
    <row r="16" spans="1:7" ht="12.75">
      <c r="A16" s="721"/>
      <c r="B16" s="722">
        <v>4428</v>
      </c>
      <c r="C16" s="716" t="s">
        <v>567</v>
      </c>
      <c r="D16" s="714">
        <v>960000</v>
      </c>
      <c r="E16" s="714">
        <v>0</v>
      </c>
      <c r="F16" s="714">
        <v>825361.5</v>
      </c>
      <c r="G16" s="714">
        <f>D16-E16-F16</f>
        <v>134638.5</v>
      </c>
    </row>
    <row r="17" spans="1:7" ht="12.75">
      <c r="A17" s="721"/>
      <c r="B17" s="722"/>
      <c r="C17" s="717"/>
      <c r="D17" s="714"/>
      <c r="E17" s="714"/>
      <c r="F17" s="714"/>
      <c r="G17" s="714"/>
    </row>
    <row r="18" spans="1:7" ht="12.75">
      <c r="A18" s="721"/>
      <c r="B18" s="722"/>
      <c r="C18" s="717"/>
      <c r="D18" s="714"/>
      <c r="E18" s="714"/>
      <c r="F18" s="714"/>
      <c r="G18" s="714"/>
    </row>
    <row r="19" spans="1:7" ht="12.75">
      <c r="A19" s="721"/>
      <c r="B19" s="722"/>
      <c r="C19" s="717"/>
      <c r="D19" s="714"/>
      <c r="E19" s="714"/>
      <c r="F19" s="714"/>
      <c r="G19" s="714"/>
    </row>
    <row r="20" spans="1:7" ht="13.5" thickBot="1">
      <c r="A20" s="721"/>
      <c r="B20" s="722"/>
      <c r="C20" s="718"/>
      <c r="D20" s="719"/>
      <c r="E20" s="719"/>
      <c r="F20" s="719"/>
      <c r="G20" s="719"/>
    </row>
    <row r="21" spans="1:7" ht="13.5" thickBot="1">
      <c r="A21" s="733"/>
      <c r="B21" s="705"/>
      <c r="C21" s="720" t="s">
        <v>541</v>
      </c>
      <c r="D21" s="710">
        <f>SUM(D23:D25)</f>
        <v>0</v>
      </c>
      <c r="E21" s="710">
        <f>SUM(E23:E25)</f>
        <v>0</v>
      </c>
      <c r="F21" s="710">
        <f>SUM(F23:F25)</f>
        <v>0</v>
      </c>
      <c r="G21" s="710">
        <f>SUM(G23:G25)</f>
        <v>0</v>
      </c>
    </row>
    <row r="22" spans="1:7" ht="12.75">
      <c r="A22" s="721"/>
      <c r="B22" s="722"/>
      <c r="C22" s="713" t="s">
        <v>213</v>
      </c>
      <c r="D22" s="714"/>
      <c r="E22" s="714"/>
      <c r="F22" s="714"/>
      <c r="G22" s="714"/>
    </row>
    <row r="23" spans="1:7" ht="12.75">
      <c r="A23" s="721"/>
      <c r="B23" s="722"/>
      <c r="C23" s="717"/>
      <c r="D23" s="714"/>
      <c r="E23" s="714"/>
      <c r="F23" s="714"/>
      <c r="G23" s="714"/>
    </row>
    <row r="24" spans="1:7" ht="12.75">
      <c r="A24" s="721"/>
      <c r="B24" s="722"/>
      <c r="C24" s="717"/>
      <c r="D24" s="714"/>
      <c r="E24" s="714"/>
      <c r="F24" s="714"/>
      <c r="G24" s="714"/>
    </row>
    <row r="25" spans="1:7" ht="13.5" thickBot="1">
      <c r="A25" s="721"/>
      <c r="B25" s="722"/>
      <c r="C25" s="717"/>
      <c r="D25" s="714"/>
      <c r="E25" s="714"/>
      <c r="F25" s="714"/>
      <c r="G25" s="719"/>
    </row>
    <row r="26" spans="1:7" ht="13.5" thickBot="1">
      <c r="A26" s="733"/>
      <c r="B26" s="705"/>
      <c r="C26" s="723" t="s">
        <v>542</v>
      </c>
      <c r="D26" s="710">
        <f>SUM(D28:D30)</f>
        <v>0</v>
      </c>
      <c r="E26" s="710">
        <f>SUM(E28:E30)</f>
        <v>0</v>
      </c>
      <c r="F26" s="710">
        <f>SUM(F28:F30)</f>
        <v>0</v>
      </c>
      <c r="G26" s="710">
        <f>SUM(G28:G30)</f>
        <v>0</v>
      </c>
    </row>
    <row r="27" spans="1:7" ht="12.75">
      <c r="A27" s="721"/>
      <c r="B27" s="722"/>
      <c r="C27" s="716" t="s">
        <v>213</v>
      </c>
      <c r="D27" s="714"/>
      <c r="E27" s="714"/>
      <c r="F27" s="714"/>
      <c r="G27" s="714"/>
    </row>
    <row r="28" spans="1:7" ht="12.75">
      <c r="A28" s="721"/>
      <c r="B28" s="722"/>
      <c r="C28" s="716"/>
      <c r="D28" s="714"/>
      <c r="E28" s="714"/>
      <c r="F28" s="714"/>
      <c r="G28" s="714"/>
    </row>
    <row r="29" spans="1:7" ht="12.75">
      <c r="A29" s="721"/>
      <c r="B29" s="722"/>
      <c r="C29" s="717"/>
      <c r="D29" s="714"/>
      <c r="E29" s="714"/>
      <c r="F29" s="714"/>
      <c r="G29" s="714"/>
    </row>
    <row r="30" spans="1:7" ht="13.5" thickBot="1">
      <c r="A30" s="721"/>
      <c r="B30" s="722"/>
      <c r="C30" s="718"/>
      <c r="D30" s="719"/>
      <c r="E30" s="719"/>
      <c r="F30" s="719"/>
      <c r="G30" s="719"/>
    </row>
    <row r="31" spans="1:7" ht="26.25" thickBot="1">
      <c r="A31" s="724"/>
      <c r="B31" s="705"/>
      <c r="C31" s="725" t="s">
        <v>216</v>
      </c>
      <c r="D31" s="719">
        <f>D14+D21+D26</f>
        <v>960000</v>
      </c>
      <c r="E31" s="719">
        <f>E14+E21+E26</f>
        <v>0</v>
      </c>
      <c r="F31" s="719">
        <f>F14+F21+F26</f>
        <v>825361.5</v>
      </c>
      <c r="G31" s="719">
        <f>G14+G21+G26</f>
        <v>134638.5</v>
      </c>
    </row>
    <row r="32" spans="1:7" ht="12.75">
      <c r="A32" s="726"/>
      <c r="B32" s="727"/>
      <c r="C32" s="728"/>
      <c r="D32" s="726"/>
      <c r="E32" s="726"/>
      <c r="F32" s="726"/>
      <c r="G32" s="726"/>
    </row>
    <row r="33" spans="1:3" ht="12.75">
      <c r="A33" s="587" t="s">
        <v>217</v>
      </c>
      <c r="C33" s="587"/>
    </row>
    <row r="34" spans="1:8" ht="13.5">
      <c r="A34" s="729" t="s">
        <v>543</v>
      </c>
      <c r="C34" s="587"/>
      <c r="D34" s="592"/>
      <c r="E34" s="592"/>
      <c r="F34" s="592"/>
      <c r="G34" s="592"/>
      <c r="H34" s="592"/>
    </row>
    <row r="35" spans="1:8" ht="12.75">
      <c r="A35" s="587" t="s">
        <v>218</v>
      </c>
      <c r="C35" s="587"/>
      <c r="D35" s="592"/>
      <c r="E35" s="592"/>
      <c r="F35" s="592"/>
      <c r="G35" s="592"/>
      <c r="H35" s="592"/>
    </row>
    <row r="36" spans="1:8" ht="12.75">
      <c r="A36" s="588" t="s">
        <v>219</v>
      </c>
      <c r="C36" s="587"/>
      <c r="D36" s="592"/>
      <c r="E36" s="592"/>
      <c r="F36" s="592"/>
      <c r="G36" s="592"/>
      <c r="H36" s="592"/>
    </row>
    <row r="37" ht="12.75">
      <c r="A37" s="587" t="s">
        <v>220</v>
      </c>
    </row>
    <row r="38" spans="1:3" ht="12.75">
      <c r="A38" s="587" t="s">
        <v>221</v>
      </c>
      <c r="C38" s="587"/>
    </row>
    <row r="39" spans="1:3" ht="12.75">
      <c r="A39" s="587" t="s">
        <v>222</v>
      </c>
      <c r="C39" s="587"/>
    </row>
    <row r="40" spans="1:3" ht="12.75">
      <c r="A40" s="587" t="s">
        <v>531</v>
      </c>
      <c r="C40" s="587"/>
    </row>
    <row r="41" spans="1:3" ht="12.75">
      <c r="A41" s="587"/>
      <c r="C41" s="587"/>
    </row>
    <row r="42" spans="1:3" ht="12.75">
      <c r="A42" s="730" t="s">
        <v>532</v>
      </c>
      <c r="C42" s="587"/>
    </row>
    <row r="44" spans="1:7" ht="12.75">
      <c r="A44" s="688" t="s">
        <v>533</v>
      </c>
      <c r="C44" s="688" t="s">
        <v>534</v>
      </c>
      <c r="F44" s="688" t="s">
        <v>535</v>
      </c>
      <c r="G44" s="688" t="s">
        <v>536</v>
      </c>
    </row>
    <row r="45" spans="1:7" ht="12.75">
      <c r="A45" s="688" t="s">
        <v>537</v>
      </c>
      <c r="C45" s="731">
        <v>39101</v>
      </c>
      <c r="F45" s="688" t="s">
        <v>537</v>
      </c>
      <c r="G45" s="731">
        <v>39101</v>
      </c>
    </row>
  </sheetData>
  <mergeCells count="2">
    <mergeCell ref="A9:G9"/>
    <mergeCell ref="A8:G8"/>
  </mergeCells>
  <printOptions horizontalCentered="1"/>
  <pageMargins left="1.6" right="0.2755905511811024" top="1.04" bottom="0.2362204724409449" header="0.61" footer="0.2362204724409449"/>
  <pageSetup horizontalDpi="300" verticalDpi="300" orientation="landscape" paperSize="9" scale="70" r:id="rId1"/>
  <headerFooter alignWithMargins="0">
    <oddHeader>&amp;R&amp;"Arial CE,Tučné"&amp;11Příloha č. 8</oddHeader>
    <oddFooter>&amp;C36</oddFooter>
  </headerFooter>
</worksheet>
</file>

<file path=xl/worksheets/sheet19.xml><?xml version="1.0" encoding="utf-8"?>
<worksheet xmlns="http://schemas.openxmlformats.org/spreadsheetml/2006/main" xmlns:r="http://schemas.openxmlformats.org/officeDocument/2006/relationships">
  <dimension ref="A1:H48"/>
  <sheetViews>
    <sheetView workbookViewId="0" topLeftCell="A16">
      <selection activeCell="A15" sqref="A15"/>
    </sheetView>
  </sheetViews>
  <sheetFormatPr defaultColWidth="9.00390625" defaultRowHeight="12.75"/>
  <cols>
    <col min="1" max="1" width="17.375" style="688" customWidth="1"/>
    <col min="2" max="2" width="8.375" style="688" customWidth="1"/>
    <col min="3" max="3" width="54.00390625" style="688" customWidth="1"/>
    <col min="4" max="7" width="15.625" style="688" customWidth="1"/>
    <col min="8" max="8" width="13.375" style="688" customWidth="1"/>
    <col min="9" max="16384" width="9.125" style="688" customWidth="1"/>
  </cols>
  <sheetData>
    <row r="1" spans="2:7" ht="12.75">
      <c r="B1" s="689"/>
      <c r="C1" s="690"/>
      <c r="F1" s="592" t="s">
        <v>198</v>
      </c>
      <c r="G1" s="592"/>
    </row>
    <row r="2" ht="12.75">
      <c r="B2" s="691"/>
    </row>
    <row r="4" ht="12.75">
      <c r="A4" s="688" t="s">
        <v>538</v>
      </c>
    </row>
    <row r="5" ht="12.75">
      <c r="A5" s="688" t="s">
        <v>199</v>
      </c>
    </row>
    <row r="6" spans="1:3" ht="12.75">
      <c r="A6" s="688" t="s">
        <v>200</v>
      </c>
      <c r="C6" s="692" t="s">
        <v>568</v>
      </c>
    </row>
    <row r="7" ht="12.75">
      <c r="C7" s="692"/>
    </row>
    <row r="8" spans="1:7" ht="14.25">
      <c r="A8" s="826" t="s">
        <v>539</v>
      </c>
      <c r="B8" s="826"/>
      <c r="C8" s="826"/>
      <c r="D8" s="826"/>
      <c r="E8" s="826"/>
      <c r="F8" s="826"/>
      <c r="G8" s="826"/>
    </row>
    <row r="9" spans="1:7" ht="12.75">
      <c r="A9" s="813" t="s">
        <v>540</v>
      </c>
      <c r="B9" s="826"/>
      <c r="C9" s="826"/>
      <c r="D9" s="826"/>
      <c r="E9" s="826"/>
      <c r="F9" s="826"/>
      <c r="G9" s="826"/>
    </row>
    <row r="10" spans="1:7" ht="12.75">
      <c r="A10" s="693"/>
      <c r="B10" s="693"/>
      <c r="C10" s="693"/>
      <c r="D10" s="693"/>
      <c r="E10" s="693"/>
      <c r="F10" s="693"/>
      <c r="G10" s="693"/>
    </row>
    <row r="11" ht="13.5" thickBot="1">
      <c r="G11" s="694" t="s">
        <v>100</v>
      </c>
    </row>
    <row r="12" spans="1:8" s="703" customFormat="1" ht="77.25" thickBot="1">
      <c r="A12" s="732" t="s">
        <v>101</v>
      </c>
      <c r="B12" s="732" t="s">
        <v>102</v>
      </c>
      <c r="C12" s="732" t="s">
        <v>109</v>
      </c>
      <c r="D12" s="732" t="s">
        <v>569</v>
      </c>
      <c r="E12" s="732" t="s">
        <v>570</v>
      </c>
      <c r="F12" s="732" t="s">
        <v>554</v>
      </c>
      <c r="G12" s="732" t="s">
        <v>571</v>
      </c>
      <c r="H12" s="702"/>
    </row>
    <row r="13" spans="1:7" ht="13.5" thickBot="1">
      <c r="A13" s="704" t="s">
        <v>208</v>
      </c>
      <c r="B13" s="705" t="s">
        <v>209</v>
      </c>
      <c r="C13" s="704" t="s">
        <v>210</v>
      </c>
      <c r="D13" s="704">
        <v>1</v>
      </c>
      <c r="E13" s="704">
        <v>2</v>
      </c>
      <c r="F13" s="704">
        <v>3</v>
      </c>
      <c r="G13" s="704" t="s">
        <v>211</v>
      </c>
    </row>
    <row r="14" spans="1:7" ht="13.5" thickBot="1">
      <c r="A14" s="733"/>
      <c r="B14" s="705"/>
      <c r="C14" s="709" t="s">
        <v>212</v>
      </c>
      <c r="D14" s="710">
        <f>SUM(D16:D20)</f>
        <v>7347389.5</v>
      </c>
      <c r="E14" s="710">
        <f>SUM(E16:E20)</f>
        <v>0</v>
      </c>
      <c r="F14" s="710">
        <f>SUM(F16:F20)</f>
        <v>7279236</v>
      </c>
      <c r="G14" s="710">
        <f>SUM(G16:G20)</f>
        <v>0</v>
      </c>
    </row>
    <row r="15" spans="1:7" ht="12.75">
      <c r="A15" s="721"/>
      <c r="B15" s="722"/>
      <c r="C15" s="713" t="s">
        <v>213</v>
      </c>
      <c r="D15" s="714"/>
      <c r="E15" s="714"/>
      <c r="F15" s="714"/>
      <c r="G15" s="715"/>
    </row>
    <row r="16" spans="1:7" ht="12.75">
      <c r="A16" s="721"/>
      <c r="B16" s="722">
        <v>15065</v>
      </c>
      <c r="C16" s="716" t="s">
        <v>572</v>
      </c>
      <c r="D16" s="714">
        <v>2788137</v>
      </c>
      <c r="E16" s="714">
        <v>0</v>
      </c>
      <c r="F16" s="714">
        <v>2788137</v>
      </c>
      <c r="G16" s="714">
        <f>D16-E16-F16</f>
        <v>0</v>
      </c>
    </row>
    <row r="17" spans="1:7" ht="12.75" customHeight="1">
      <c r="A17" s="721"/>
      <c r="B17" s="722">
        <v>15434</v>
      </c>
      <c r="C17" s="717" t="s">
        <v>573</v>
      </c>
      <c r="D17" s="714">
        <v>4559252.5</v>
      </c>
      <c r="E17" s="714">
        <v>0</v>
      </c>
      <c r="F17" s="714">
        <v>4491099</v>
      </c>
      <c r="G17" s="735" t="s">
        <v>574</v>
      </c>
    </row>
    <row r="18" spans="1:7" ht="12.75">
      <c r="A18" s="721"/>
      <c r="B18" s="722"/>
      <c r="C18" s="717"/>
      <c r="D18" s="714"/>
      <c r="E18" s="714"/>
      <c r="F18" s="714"/>
      <c r="G18" s="714"/>
    </row>
    <row r="19" spans="1:7" ht="12.75">
      <c r="A19" s="721"/>
      <c r="B19" s="722"/>
      <c r="C19" s="717"/>
      <c r="D19" s="714"/>
      <c r="E19" s="714"/>
      <c r="F19" s="714"/>
      <c r="G19" s="714"/>
    </row>
    <row r="20" spans="1:7" ht="13.5" thickBot="1">
      <c r="A20" s="721"/>
      <c r="B20" s="722"/>
      <c r="C20" s="718"/>
      <c r="D20" s="719"/>
      <c r="E20" s="719"/>
      <c r="F20" s="719"/>
      <c r="G20" s="719"/>
    </row>
    <row r="21" spans="1:7" ht="13.5" thickBot="1">
      <c r="A21" s="733"/>
      <c r="B21" s="705"/>
      <c r="C21" s="720" t="s">
        <v>541</v>
      </c>
      <c r="D21" s="710">
        <f>SUM(D23:D25)</f>
        <v>0</v>
      </c>
      <c r="E21" s="710">
        <f>SUM(E23:E25)</f>
        <v>0</v>
      </c>
      <c r="F21" s="710">
        <f>SUM(F23:F25)</f>
        <v>0</v>
      </c>
      <c r="G21" s="710">
        <f>SUM(G23:G25)</f>
        <v>0</v>
      </c>
    </row>
    <row r="22" spans="1:7" ht="12.75">
      <c r="A22" s="721"/>
      <c r="B22" s="722"/>
      <c r="C22" s="713" t="s">
        <v>213</v>
      </c>
      <c r="D22" s="714"/>
      <c r="E22" s="714"/>
      <c r="F22" s="714"/>
      <c r="G22" s="714"/>
    </row>
    <row r="23" spans="1:7" ht="12.75">
      <c r="A23" s="721"/>
      <c r="B23" s="722"/>
      <c r="C23" s="717"/>
      <c r="D23" s="714"/>
      <c r="E23" s="714"/>
      <c r="F23" s="714"/>
      <c r="G23" s="714"/>
    </row>
    <row r="24" spans="1:7" ht="12.75">
      <c r="A24" s="721"/>
      <c r="B24" s="722"/>
      <c r="C24" s="717"/>
      <c r="D24" s="714"/>
      <c r="E24" s="714"/>
      <c r="F24" s="714"/>
      <c r="G24" s="714"/>
    </row>
    <row r="25" spans="1:7" ht="13.5" thickBot="1">
      <c r="A25" s="721"/>
      <c r="B25" s="722"/>
      <c r="C25" s="717"/>
      <c r="D25" s="714"/>
      <c r="E25" s="714"/>
      <c r="F25" s="714"/>
      <c r="G25" s="719"/>
    </row>
    <row r="26" spans="1:7" ht="13.5" thickBot="1">
      <c r="A26" s="733"/>
      <c r="B26" s="705"/>
      <c r="C26" s="723" t="s">
        <v>542</v>
      </c>
      <c r="D26" s="710">
        <f>SUM(D28:D30)</f>
        <v>0</v>
      </c>
      <c r="E26" s="710">
        <f>SUM(E28:E30)</f>
        <v>0</v>
      </c>
      <c r="F26" s="710">
        <f>SUM(F28:F30)</f>
        <v>0</v>
      </c>
      <c r="G26" s="710">
        <f>SUM(G28:G30)</f>
        <v>0</v>
      </c>
    </row>
    <row r="27" spans="1:7" ht="12.75">
      <c r="A27" s="721"/>
      <c r="B27" s="722"/>
      <c r="C27" s="716" t="s">
        <v>213</v>
      </c>
      <c r="D27" s="714"/>
      <c r="E27" s="714"/>
      <c r="F27" s="714"/>
      <c r="G27" s="714"/>
    </row>
    <row r="28" spans="1:7" ht="12.75">
      <c r="A28" s="721"/>
      <c r="B28" s="722"/>
      <c r="C28" s="716" t="s">
        <v>371</v>
      </c>
      <c r="D28" s="714"/>
      <c r="E28" s="714"/>
      <c r="F28" s="714"/>
      <c r="G28" s="714"/>
    </row>
    <row r="29" spans="1:7" ht="12.75">
      <c r="A29" s="721"/>
      <c r="B29" s="722"/>
      <c r="C29" s="717"/>
      <c r="D29" s="714"/>
      <c r="E29" s="714"/>
      <c r="F29" s="714"/>
      <c r="G29" s="714"/>
    </row>
    <row r="30" spans="1:7" ht="13.5" thickBot="1">
      <c r="A30" s="721"/>
      <c r="B30" s="722"/>
      <c r="C30" s="718"/>
      <c r="D30" s="719"/>
      <c r="E30" s="719"/>
      <c r="F30" s="719"/>
      <c r="G30" s="719"/>
    </row>
    <row r="31" spans="1:7" ht="26.25" thickBot="1">
      <c r="A31" s="724"/>
      <c r="B31" s="705"/>
      <c r="C31" s="725" t="s">
        <v>216</v>
      </c>
      <c r="D31" s="719">
        <f>D14+D21+D26</f>
        <v>7347389.5</v>
      </c>
      <c r="E31" s="719">
        <f>E14+E21+E26</f>
        <v>0</v>
      </c>
      <c r="F31" s="719">
        <f>F14+F21+F26</f>
        <v>7279236</v>
      </c>
      <c r="G31" s="719">
        <f>G14+G21+G26</f>
        <v>0</v>
      </c>
    </row>
    <row r="32" spans="1:7" ht="12.75">
      <c r="A32" s="726"/>
      <c r="B32" s="727"/>
      <c r="C32" s="728"/>
      <c r="D32" s="726"/>
      <c r="E32" s="726"/>
      <c r="F32" s="726"/>
      <c r="G32" s="726"/>
    </row>
    <row r="33" spans="1:3" ht="12.75">
      <c r="A33" s="587" t="s">
        <v>217</v>
      </c>
      <c r="C33" s="587"/>
    </row>
    <row r="34" spans="1:8" ht="13.5">
      <c r="A34" s="729" t="s">
        <v>543</v>
      </c>
      <c r="C34" s="587"/>
      <c r="D34" s="592"/>
      <c r="E34" s="592"/>
      <c r="F34" s="592"/>
      <c r="G34" s="592"/>
      <c r="H34" s="592"/>
    </row>
    <row r="35" spans="1:8" ht="12.75">
      <c r="A35" s="587" t="s">
        <v>218</v>
      </c>
      <c r="C35" s="587"/>
      <c r="D35" s="592"/>
      <c r="E35" s="592"/>
      <c r="F35" s="592"/>
      <c r="G35" s="592"/>
      <c r="H35" s="592"/>
    </row>
    <row r="36" spans="1:8" ht="12.75">
      <c r="A36" s="588" t="s">
        <v>219</v>
      </c>
      <c r="C36" s="587"/>
      <c r="D36" s="592"/>
      <c r="E36" s="592"/>
      <c r="F36" s="592"/>
      <c r="G36" s="592"/>
      <c r="H36" s="592"/>
    </row>
    <row r="37" ht="12.75">
      <c r="A37" s="587" t="s">
        <v>220</v>
      </c>
    </row>
    <row r="38" spans="1:3" ht="12.75">
      <c r="A38" s="587" t="s">
        <v>221</v>
      </c>
      <c r="C38" s="587"/>
    </row>
    <row r="39" spans="1:3" ht="12.75">
      <c r="A39" s="587" t="s">
        <v>222</v>
      </c>
      <c r="C39" s="587"/>
    </row>
    <row r="40" spans="1:3" ht="12.75">
      <c r="A40" s="587" t="s">
        <v>531</v>
      </c>
      <c r="C40" s="587"/>
    </row>
    <row r="41" spans="1:3" ht="12.75">
      <c r="A41" s="587"/>
      <c r="C41" s="587"/>
    </row>
    <row r="42" spans="1:3" ht="12.75">
      <c r="A42" s="730" t="s">
        <v>532</v>
      </c>
      <c r="C42" s="587"/>
    </row>
    <row r="44" spans="1:7" ht="12.75">
      <c r="A44" s="688" t="s">
        <v>533</v>
      </c>
      <c r="C44" s="688" t="s">
        <v>534</v>
      </c>
      <c r="F44" s="688" t="s">
        <v>535</v>
      </c>
      <c r="G44" s="688" t="s">
        <v>536</v>
      </c>
    </row>
    <row r="45" spans="1:7" ht="12.75">
      <c r="A45" s="688" t="s">
        <v>537</v>
      </c>
      <c r="C45" s="731">
        <v>39101</v>
      </c>
      <c r="F45" s="688" t="s">
        <v>537</v>
      </c>
      <c r="G45" s="731">
        <v>39101</v>
      </c>
    </row>
    <row r="47" ht="12.75">
      <c r="A47" s="688" t="s">
        <v>575</v>
      </c>
    </row>
    <row r="48" ht="12.75">
      <c r="A48" s="688" t="s">
        <v>576</v>
      </c>
    </row>
  </sheetData>
  <mergeCells count="2">
    <mergeCell ref="A9:G9"/>
    <mergeCell ref="A8:G8"/>
  </mergeCells>
  <printOptions horizontalCentered="1"/>
  <pageMargins left="1.88" right="0.2755905511811024" top="0.93" bottom="0.2362204724409449" header="0.55" footer="0.2362204724409449"/>
  <pageSetup horizontalDpi="300" verticalDpi="300" orientation="landscape" paperSize="9" scale="70" r:id="rId1"/>
  <headerFooter alignWithMargins="0">
    <oddHeader>&amp;R&amp;"Arial CE,Tučné"&amp;11Příloha č. 8</oddHeader>
    <oddFooter>&amp;C37</oddFooter>
  </headerFooter>
</worksheet>
</file>

<file path=xl/worksheets/sheet2.xml><?xml version="1.0" encoding="utf-8"?>
<worksheet xmlns="http://schemas.openxmlformats.org/spreadsheetml/2006/main" xmlns:r="http://schemas.openxmlformats.org/officeDocument/2006/relationships">
  <dimension ref="A1:H1204"/>
  <sheetViews>
    <sheetView workbookViewId="0" topLeftCell="A1">
      <pane xSplit="1" ySplit="1" topLeftCell="C185" activePane="bottomRight" state="frozen"/>
      <selection pane="topLeft" activeCell="A1" sqref="A1"/>
      <selection pane="topRight" activeCell="B1" sqref="B1"/>
      <selection pane="bottomLeft" activeCell="A2" sqref="A2"/>
      <selection pane="bottomRight" activeCell="G208" sqref="G208"/>
    </sheetView>
  </sheetViews>
  <sheetFormatPr defaultColWidth="9.00390625" defaultRowHeight="12.75" outlineLevelRow="1"/>
  <cols>
    <col min="1" max="1" width="5.25390625" style="42" customWidth="1"/>
    <col min="2" max="2" width="31.00390625" style="9" customWidth="1"/>
    <col min="3" max="5" width="11.625" style="9" customWidth="1"/>
    <col min="6" max="6" width="6.375" style="9" customWidth="1"/>
    <col min="7" max="7" width="63.625" style="9" customWidth="1"/>
    <col min="8" max="17" width="9.125" style="9" customWidth="1"/>
    <col min="18" max="18" width="8.875" style="9" customWidth="1"/>
    <col min="19" max="20" width="9.125" style="9" customWidth="1"/>
    <col min="21" max="22" width="8.875" style="9" customWidth="1"/>
    <col min="23" max="16384" width="9.125" style="9" customWidth="1"/>
  </cols>
  <sheetData>
    <row r="1" spans="1:7" s="3" customFormat="1" ht="46.5" customHeight="1">
      <c r="A1" s="1" t="s">
        <v>223</v>
      </c>
      <c r="B1" s="2" t="s">
        <v>224</v>
      </c>
      <c r="C1" s="1" t="s">
        <v>225</v>
      </c>
      <c r="D1" s="1" t="s">
        <v>226</v>
      </c>
      <c r="E1" s="1" t="s">
        <v>227</v>
      </c>
      <c r="F1" s="1" t="s">
        <v>228</v>
      </c>
      <c r="G1" s="1" t="s">
        <v>229</v>
      </c>
    </row>
    <row r="2" spans="1:7" ht="13.5" customHeight="1">
      <c r="A2" s="4">
        <v>1111</v>
      </c>
      <c r="B2" s="5" t="s">
        <v>230</v>
      </c>
      <c r="C2" s="6">
        <v>250000000</v>
      </c>
      <c r="D2" s="6">
        <v>250000000</v>
      </c>
      <c r="E2" s="7">
        <v>261738808.71</v>
      </c>
      <c r="F2" s="7">
        <f>E2/D2*100</f>
        <v>104.69552348399999</v>
      </c>
      <c r="G2" s="8"/>
    </row>
    <row r="3" spans="1:7" ht="13.5" customHeight="1">
      <c r="A3" s="4">
        <v>1112</v>
      </c>
      <c r="B3" s="5" t="s">
        <v>231</v>
      </c>
      <c r="C3" s="7">
        <v>130000000</v>
      </c>
      <c r="D3" s="7">
        <v>130000000</v>
      </c>
      <c r="E3" s="7">
        <v>80697888.82</v>
      </c>
      <c r="F3" s="7">
        <f>E3/D3*100</f>
        <v>62.07529909230769</v>
      </c>
      <c r="G3" s="8"/>
    </row>
    <row r="4" spans="1:7" ht="13.5" customHeight="1">
      <c r="A4" s="4">
        <v>1113</v>
      </c>
      <c r="B4" s="5" t="s">
        <v>232</v>
      </c>
      <c r="C4" s="7">
        <v>17000000</v>
      </c>
      <c r="D4" s="7">
        <v>17000000</v>
      </c>
      <c r="E4" s="7">
        <v>15548493.59</v>
      </c>
      <c r="F4" s="7">
        <f>E4/D4*100</f>
        <v>91.46172700000001</v>
      </c>
      <c r="G4" s="8"/>
    </row>
    <row r="5" spans="1:7" ht="13.5" customHeight="1">
      <c r="A5" s="4">
        <v>1119</v>
      </c>
      <c r="B5" s="5" t="s">
        <v>233</v>
      </c>
      <c r="C5" s="7">
        <v>0</v>
      </c>
      <c r="D5" s="7">
        <v>0</v>
      </c>
      <c r="E5" s="7">
        <v>91168.25</v>
      </c>
      <c r="F5" s="7">
        <v>0</v>
      </c>
      <c r="G5" s="8"/>
    </row>
    <row r="6" spans="1:7" ht="13.5" customHeight="1">
      <c r="A6" s="4">
        <v>1121</v>
      </c>
      <c r="B6" s="5" t="s">
        <v>234</v>
      </c>
      <c r="C6" s="7">
        <v>300000000</v>
      </c>
      <c r="D6" s="7">
        <v>300000000</v>
      </c>
      <c r="E6" s="7">
        <v>287874226.4</v>
      </c>
      <c r="F6" s="7">
        <f>E6/D6*100</f>
        <v>95.95807546666666</v>
      </c>
      <c r="G6" s="8"/>
    </row>
    <row r="7" spans="1:7" ht="13.5" customHeight="1">
      <c r="A7" s="4">
        <v>1122</v>
      </c>
      <c r="B7" s="5" t="s">
        <v>235</v>
      </c>
      <c r="C7" s="7">
        <v>110525000</v>
      </c>
      <c r="D7" s="7">
        <v>152725000</v>
      </c>
      <c r="E7" s="7">
        <v>158932000</v>
      </c>
      <c r="F7" s="7">
        <f>E7/D7*100</f>
        <v>104.06416762154198</v>
      </c>
      <c r="G7" s="785" t="s">
        <v>425</v>
      </c>
    </row>
    <row r="8" spans="1:7" ht="13.5" customHeight="1">
      <c r="A8" s="4"/>
      <c r="B8" s="5"/>
      <c r="C8" s="7"/>
      <c r="D8" s="7"/>
      <c r="E8" s="7"/>
      <c r="F8" s="7"/>
      <c r="G8" s="784"/>
    </row>
    <row r="9" spans="1:7" ht="13.5" customHeight="1">
      <c r="A9" s="4"/>
      <c r="B9" s="5"/>
      <c r="C9" s="7"/>
      <c r="D9" s="7"/>
      <c r="E9" s="7"/>
      <c r="F9" s="7"/>
      <c r="G9" s="784"/>
    </row>
    <row r="10" spans="1:7" ht="13.5" customHeight="1">
      <c r="A10" s="4"/>
      <c r="B10" s="5"/>
      <c r="C10" s="7"/>
      <c r="D10" s="7"/>
      <c r="E10" s="7"/>
      <c r="F10" s="7"/>
      <c r="G10" s="784"/>
    </row>
    <row r="11" spans="1:7" ht="13.5" customHeight="1">
      <c r="A11" s="4">
        <v>1211</v>
      </c>
      <c r="B11" s="5" t="s">
        <v>236</v>
      </c>
      <c r="C11" s="7">
        <v>481000000</v>
      </c>
      <c r="D11" s="7">
        <v>481000000</v>
      </c>
      <c r="E11" s="7">
        <v>464709947</v>
      </c>
      <c r="F11" s="7">
        <f>E11/D11*100</f>
        <v>96.61329459459459</v>
      </c>
      <c r="G11" s="8"/>
    </row>
    <row r="12" spans="1:7" ht="13.5" customHeight="1" thickBot="1">
      <c r="A12" s="4">
        <v>1511</v>
      </c>
      <c r="B12" s="5" t="s">
        <v>237</v>
      </c>
      <c r="C12" s="11">
        <v>41000000</v>
      </c>
      <c r="D12" s="11">
        <v>41000000</v>
      </c>
      <c r="E12" s="7">
        <v>45740921.82</v>
      </c>
      <c r="F12" s="7">
        <f>E12/D12*100</f>
        <v>111.56322395121951</v>
      </c>
      <c r="G12" s="8"/>
    </row>
    <row r="13" spans="1:8" ht="13.5" customHeight="1" thickBot="1">
      <c r="A13" s="4"/>
      <c r="B13" s="12" t="s">
        <v>238</v>
      </c>
      <c r="C13" s="13">
        <f>SUM(C2:C12)</f>
        <v>1329525000</v>
      </c>
      <c r="D13" s="13">
        <f>SUM(D2:D12)</f>
        <v>1371725000</v>
      </c>
      <c r="E13" s="13">
        <f>SUM(E2:E12)</f>
        <v>1315333454.59</v>
      </c>
      <c r="F13" s="13">
        <f>E13/D13*100</f>
        <v>95.88900505494905</v>
      </c>
      <c r="G13" s="8"/>
      <c r="H13" s="14"/>
    </row>
    <row r="14" spans="1:7" ht="13.5" customHeight="1">
      <c r="A14" s="4">
        <v>1332</v>
      </c>
      <c r="B14" s="5" t="s">
        <v>239</v>
      </c>
      <c r="C14" s="15">
        <v>50000</v>
      </c>
      <c r="D14" s="15">
        <v>50000</v>
      </c>
      <c r="E14" s="7">
        <v>32800</v>
      </c>
      <c r="F14" s="7">
        <f>E14/D14*100</f>
        <v>65.60000000000001</v>
      </c>
      <c r="G14" s="8" t="s">
        <v>240</v>
      </c>
    </row>
    <row r="15" spans="1:7" ht="13.5" customHeight="1">
      <c r="A15" s="4">
        <v>1334</v>
      </c>
      <c r="B15" s="5" t="s">
        <v>241</v>
      </c>
      <c r="C15" s="7">
        <v>500000</v>
      </c>
      <c r="D15" s="7">
        <v>500000</v>
      </c>
      <c r="E15" s="7">
        <v>356099.2</v>
      </c>
      <c r="F15" s="7">
        <f>E15/D15*100</f>
        <v>71.21984</v>
      </c>
      <c r="G15" s="8" t="s">
        <v>242</v>
      </c>
    </row>
    <row r="16" spans="1:7" ht="13.5" customHeight="1">
      <c r="A16" s="4">
        <v>1335</v>
      </c>
      <c r="B16" s="5" t="s">
        <v>243</v>
      </c>
      <c r="C16" s="7">
        <v>0</v>
      </c>
      <c r="D16" s="7">
        <v>0</v>
      </c>
      <c r="E16" s="7">
        <v>2678</v>
      </c>
      <c r="F16" s="7">
        <v>0</v>
      </c>
      <c r="G16" s="8"/>
    </row>
    <row r="17" spans="1:7" ht="13.5" customHeight="1">
      <c r="A17" s="4">
        <v>1337</v>
      </c>
      <c r="B17" s="5" t="s">
        <v>244</v>
      </c>
      <c r="C17" s="7">
        <v>39000000</v>
      </c>
      <c r="D17" s="7">
        <v>39000000</v>
      </c>
      <c r="E17" s="7">
        <v>46714127.62</v>
      </c>
      <c r="F17" s="7">
        <f aca="true" t="shared" si="0" ref="F17:F24">E17/D17*100</f>
        <v>119.7798144102564</v>
      </c>
      <c r="G17" s="8"/>
    </row>
    <row r="18" spans="1:7" ht="13.5" customHeight="1">
      <c r="A18" s="4">
        <v>1341</v>
      </c>
      <c r="B18" s="5" t="s">
        <v>245</v>
      </c>
      <c r="C18" s="7">
        <v>2700000</v>
      </c>
      <c r="D18" s="7">
        <v>2700000</v>
      </c>
      <c r="E18" s="7">
        <v>2835244</v>
      </c>
      <c r="F18" s="7">
        <f t="shared" si="0"/>
        <v>105.00903703703703</v>
      </c>
      <c r="G18" s="16"/>
    </row>
    <row r="19" spans="1:7" ht="13.5" customHeight="1">
      <c r="A19" s="4">
        <v>1342</v>
      </c>
      <c r="B19" s="5" t="s">
        <v>246</v>
      </c>
      <c r="C19" s="7">
        <v>400000</v>
      </c>
      <c r="D19" s="7">
        <v>400000</v>
      </c>
      <c r="E19" s="7">
        <v>496885</v>
      </c>
      <c r="F19" s="7">
        <f t="shared" si="0"/>
        <v>124.22125</v>
      </c>
      <c r="G19" s="8"/>
    </row>
    <row r="20" spans="1:7" ht="13.5" customHeight="1">
      <c r="A20" s="4">
        <v>1343</v>
      </c>
      <c r="B20" s="5" t="s">
        <v>247</v>
      </c>
      <c r="C20" s="7">
        <v>4500000</v>
      </c>
      <c r="D20" s="7">
        <v>4500000</v>
      </c>
      <c r="E20" s="7">
        <v>4131600.5</v>
      </c>
      <c r="F20" s="7">
        <f t="shared" si="0"/>
        <v>91.81334444444444</v>
      </c>
      <c r="G20" s="8"/>
    </row>
    <row r="21" spans="1:7" ht="13.5" customHeight="1">
      <c r="A21" s="4">
        <v>1344</v>
      </c>
      <c r="B21" s="5" t="s">
        <v>248</v>
      </c>
      <c r="C21" s="7">
        <v>130000</v>
      </c>
      <c r="D21" s="7">
        <v>130000</v>
      </c>
      <c r="E21" s="7">
        <v>141248</v>
      </c>
      <c r="F21" s="7">
        <f t="shared" si="0"/>
        <v>108.65230769230769</v>
      </c>
      <c r="G21" s="8"/>
    </row>
    <row r="22" spans="1:7" ht="13.5" customHeight="1">
      <c r="A22" s="4">
        <v>1345</v>
      </c>
      <c r="B22" s="5" t="s">
        <v>249</v>
      </c>
      <c r="C22" s="7">
        <v>800000</v>
      </c>
      <c r="D22" s="7">
        <v>800000</v>
      </c>
      <c r="E22" s="7">
        <v>946298.68</v>
      </c>
      <c r="F22" s="7">
        <f t="shared" si="0"/>
        <v>118.28733500000001</v>
      </c>
      <c r="G22" s="8"/>
    </row>
    <row r="23" spans="1:7" ht="13.5" customHeight="1">
      <c r="A23" s="4">
        <v>1346</v>
      </c>
      <c r="B23" s="5" t="s">
        <v>250</v>
      </c>
      <c r="C23" s="7">
        <v>250000</v>
      </c>
      <c r="D23" s="7">
        <v>250000</v>
      </c>
      <c r="E23" s="7">
        <v>315600</v>
      </c>
      <c r="F23" s="7">
        <f t="shared" si="0"/>
        <v>126.24</v>
      </c>
      <c r="G23" s="17"/>
    </row>
    <row r="24" spans="1:7" ht="13.5" customHeight="1">
      <c r="A24" s="4">
        <v>1347</v>
      </c>
      <c r="B24" s="5" t="s">
        <v>251</v>
      </c>
      <c r="C24" s="7">
        <v>12500000</v>
      </c>
      <c r="D24" s="7">
        <v>12500000</v>
      </c>
      <c r="E24" s="7">
        <v>17081605</v>
      </c>
      <c r="F24" s="7">
        <f t="shared" si="0"/>
        <v>136.65284</v>
      </c>
      <c r="G24" s="8" t="s">
        <v>252</v>
      </c>
    </row>
    <row r="25" spans="1:7" ht="13.5" customHeight="1">
      <c r="A25" s="4">
        <v>1349</v>
      </c>
      <c r="B25" s="5" t="s">
        <v>253</v>
      </c>
      <c r="C25" s="7">
        <v>0</v>
      </c>
      <c r="D25" s="7">
        <v>0</v>
      </c>
      <c r="E25" s="7">
        <v>6000</v>
      </c>
      <c r="F25" s="7">
        <v>0</v>
      </c>
      <c r="G25" s="8"/>
    </row>
    <row r="26" spans="1:7" ht="13.5" customHeight="1">
      <c r="A26" s="4">
        <v>1351</v>
      </c>
      <c r="B26" s="5" t="s">
        <v>254</v>
      </c>
      <c r="C26" s="7">
        <v>10000000</v>
      </c>
      <c r="D26" s="7">
        <v>10000000</v>
      </c>
      <c r="E26" s="7">
        <v>10389063.26</v>
      </c>
      <c r="F26" s="7">
        <f>E26/D26*100</f>
        <v>103.8906326</v>
      </c>
      <c r="G26" s="8" t="s">
        <v>255</v>
      </c>
    </row>
    <row r="27" spans="1:7" ht="13.5" customHeight="1">
      <c r="A27" s="4">
        <v>1351</v>
      </c>
      <c r="B27" s="5" t="s">
        <v>254</v>
      </c>
      <c r="C27" s="7">
        <v>0</v>
      </c>
      <c r="D27" s="7">
        <v>1653033</v>
      </c>
      <c r="E27" s="7">
        <v>1653033</v>
      </c>
      <c r="F27" s="7">
        <f>E27/D27*100</f>
        <v>100</v>
      </c>
      <c r="G27" s="785" t="s">
        <v>256</v>
      </c>
    </row>
    <row r="28" spans="1:7" ht="13.5" customHeight="1">
      <c r="A28" s="4"/>
      <c r="B28" s="5"/>
      <c r="C28" s="7"/>
      <c r="D28" s="7"/>
      <c r="E28" s="7"/>
      <c r="F28" s="7"/>
      <c r="G28" s="785"/>
    </row>
    <row r="29" spans="1:7" ht="13.5" customHeight="1">
      <c r="A29" s="4">
        <v>1361</v>
      </c>
      <c r="B29" s="5" t="s">
        <v>257</v>
      </c>
      <c r="C29" s="7">
        <v>21000000</v>
      </c>
      <c r="D29" s="7">
        <v>21000000</v>
      </c>
      <c r="E29" s="7">
        <v>27924700</v>
      </c>
      <c r="F29" s="7">
        <f>E29/D29*100</f>
        <v>132.9747619047619</v>
      </c>
      <c r="G29" s="10" t="s">
        <v>258</v>
      </c>
    </row>
    <row r="30" spans="1:7" ht="13.5" customHeight="1">
      <c r="A30" s="4">
        <v>1361</v>
      </c>
      <c r="B30" s="5" t="s">
        <v>257</v>
      </c>
      <c r="C30" s="7">
        <v>24000000</v>
      </c>
      <c r="D30" s="7">
        <v>24360000</v>
      </c>
      <c r="E30" s="7">
        <v>31595885</v>
      </c>
      <c r="F30" s="7">
        <f>E30/D30*100</f>
        <v>129.70396141215105</v>
      </c>
      <c r="G30" s="785" t="s">
        <v>426</v>
      </c>
    </row>
    <row r="31" spans="1:7" ht="13.5" customHeight="1">
      <c r="A31" s="4"/>
      <c r="B31" s="5"/>
      <c r="C31" s="7"/>
      <c r="D31" s="7"/>
      <c r="E31" s="7"/>
      <c r="F31" s="7"/>
      <c r="G31" s="786"/>
    </row>
    <row r="32" spans="1:7" ht="13.5" customHeight="1">
      <c r="A32" s="4"/>
      <c r="B32" s="5"/>
      <c r="C32" s="7"/>
      <c r="D32" s="7"/>
      <c r="E32" s="7"/>
      <c r="F32" s="7"/>
      <c r="G32" s="784"/>
    </row>
    <row r="33" spans="1:7" ht="13.5" customHeight="1">
      <c r="A33" s="4"/>
      <c r="B33" s="5"/>
      <c r="C33" s="7"/>
      <c r="D33" s="7"/>
      <c r="E33" s="7"/>
      <c r="F33" s="7"/>
      <c r="G33" s="784"/>
    </row>
    <row r="34" spans="1:7" ht="13.5" customHeight="1" thickBot="1">
      <c r="A34" s="4"/>
      <c r="B34" s="5"/>
      <c r="C34" s="7"/>
      <c r="D34" s="7"/>
      <c r="E34" s="7"/>
      <c r="F34" s="7"/>
      <c r="G34" s="784"/>
    </row>
    <row r="35" spans="1:8" ht="13.5" customHeight="1" thickBot="1">
      <c r="A35" s="4"/>
      <c r="B35" s="12" t="s">
        <v>259</v>
      </c>
      <c r="C35" s="13">
        <f>SUM(C14:C31)</f>
        <v>115830000</v>
      </c>
      <c r="D35" s="13">
        <f>SUM(D14:D31)</f>
        <v>117843033</v>
      </c>
      <c r="E35" s="13">
        <f>SUM(E14:E31)</f>
        <v>144622867.26</v>
      </c>
      <c r="F35" s="13">
        <f>E35/D35*100</f>
        <v>122.7250042520545</v>
      </c>
      <c r="G35" s="18"/>
      <c r="H35" s="14"/>
    </row>
    <row r="36" spans="1:7" ht="13.5" customHeight="1" thickBot="1">
      <c r="A36" s="4"/>
      <c r="B36" s="19" t="s">
        <v>260</v>
      </c>
      <c r="C36" s="20">
        <f>C13+C35</f>
        <v>1445355000</v>
      </c>
      <c r="D36" s="20">
        <f>D13+D35</f>
        <v>1489568033</v>
      </c>
      <c r="E36" s="20">
        <f>E13+E35</f>
        <v>1459956321.85</v>
      </c>
      <c r="F36" s="20">
        <f>E36/D36*100</f>
        <v>98.01206051056548</v>
      </c>
      <c r="G36" s="21"/>
    </row>
    <row r="37" spans="1:7" ht="13.5" customHeight="1">
      <c r="A37" s="4">
        <v>2111</v>
      </c>
      <c r="B37" s="5" t="s">
        <v>261</v>
      </c>
      <c r="C37" s="7">
        <v>1000000</v>
      </c>
      <c r="D37" s="7">
        <v>1000000</v>
      </c>
      <c r="E37" s="7">
        <v>1090148.4</v>
      </c>
      <c r="F37" s="7">
        <f>E37/D37*100</f>
        <v>109.01483999999999</v>
      </c>
      <c r="G37" s="8" t="s">
        <v>262</v>
      </c>
    </row>
    <row r="38" spans="1:7" ht="13.5" customHeight="1">
      <c r="A38" s="4">
        <v>2111</v>
      </c>
      <c r="B38" s="5" t="s">
        <v>261</v>
      </c>
      <c r="C38" s="7">
        <v>1050000</v>
      </c>
      <c r="D38" s="7">
        <v>1050000</v>
      </c>
      <c r="E38" s="7">
        <v>1146902</v>
      </c>
      <c r="F38" s="7">
        <f>E38/D38*100</f>
        <v>109.2287619047619</v>
      </c>
      <c r="G38" s="8" t="s">
        <v>263</v>
      </c>
    </row>
    <row r="39" spans="1:7" ht="13.5" customHeight="1">
      <c r="A39" s="4">
        <v>2111</v>
      </c>
      <c r="B39" s="5" t="s">
        <v>261</v>
      </c>
      <c r="C39" s="7">
        <v>140000</v>
      </c>
      <c r="D39" s="7">
        <v>140000</v>
      </c>
      <c r="E39" s="7">
        <v>90182</v>
      </c>
      <c r="F39" s="7">
        <f>E39/D39*100</f>
        <v>64.41571428571429</v>
      </c>
      <c r="G39" s="8" t="s">
        <v>264</v>
      </c>
    </row>
    <row r="40" spans="1:7" ht="13.5" customHeight="1">
      <c r="A40" s="4">
        <v>2111</v>
      </c>
      <c r="B40" s="5" t="s">
        <v>261</v>
      </c>
      <c r="C40" s="7">
        <v>0</v>
      </c>
      <c r="D40" s="7">
        <v>0</v>
      </c>
      <c r="E40" s="7">
        <v>3711</v>
      </c>
      <c r="F40" s="7">
        <v>0</v>
      </c>
      <c r="G40" s="8" t="s">
        <v>265</v>
      </c>
    </row>
    <row r="41" spans="1:7" ht="13.5" customHeight="1">
      <c r="A41" s="4">
        <v>2111</v>
      </c>
      <c r="B41" s="5" t="s">
        <v>261</v>
      </c>
      <c r="C41" s="7">
        <v>0</v>
      </c>
      <c r="D41" s="7">
        <v>0</v>
      </c>
      <c r="E41" s="7">
        <v>10010</v>
      </c>
      <c r="F41" s="7">
        <v>0</v>
      </c>
      <c r="G41" s="8" t="s">
        <v>266</v>
      </c>
    </row>
    <row r="42" spans="1:7" ht="13.5" customHeight="1">
      <c r="A42" s="4">
        <v>2111</v>
      </c>
      <c r="B42" s="5" t="s">
        <v>261</v>
      </c>
      <c r="C42" s="7">
        <v>0</v>
      </c>
      <c r="D42" s="7">
        <v>0</v>
      </c>
      <c r="E42" s="7">
        <v>7837</v>
      </c>
      <c r="F42" s="7">
        <v>0</v>
      </c>
      <c r="G42" s="8" t="s">
        <v>267</v>
      </c>
    </row>
    <row r="43" spans="1:7" ht="13.5" customHeight="1">
      <c r="A43" s="4">
        <v>2111</v>
      </c>
      <c r="B43" s="5" t="s">
        <v>261</v>
      </c>
      <c r="C43" s="7">
        <v>0</v>
      </c>
      <c r="D43" s="7">
        <v>0</v>
      </c>
      <c r="E43" s="7">
        <v>80350</v>
      </c>
      <c r="F43" s="7">
        <v>0</v>
      </c>
      <c r="G43" s="8" t="s">
        <v>268</v>
      </c>
    </row>
    <row r="44" spans="1:7" ht="13.5" customHeight="1">
      <c r="A44" s="4">
        <v>2111</v>
      </c>
      <c r="B44" s="5" t="s">
        <v>261</v>
      </c>
      <c r="C44" s="7">
        <v>0</v>
      </c>
      <c r="D44" s="7">
        <v>96500</v>
      </c>
      <c r="E44" s="7">
        <v>96500</v>
      </c>
      <c r="F44" s="7">
        <f>E44/D44*100</f>
        <v>100</v>
      </c>
      <c r="G44" s="8" t="s">
        <v>269</v>
      </c>
    </row>
    <row r="45" spans="1:7" ht="13.5" customHeight="1">
      <c r="A45" s="4">
        <v>2111</v>
      </c>
      <c r="B45" s="5" t="s">
        <v>261</v>
      </c>
      <c r="C45" s="7">
        <v>0</v>
      </c>
      <c r="D45" s="7">
        <v>0</v>
      </c>
      <c r="E45" s="7">
        <v>483800</v>
      </c>
      <c r="F45" s="7">
        <v>0</v>
      </c>
      <c r="G45" s="8" t="s">
        <v>270</v>
      </c>
    </row>
    <row r="46" spans="1:7" ht="13.5" customHeight="1">
      <c r="A46" s="4">
        <v>2112</v>
      </c>
      <c r="B46" s="5" t="s">
        <v>271</v>
      </c>
      <c r="C46" s="7">
        <v>7000</v>
      </c>
      <c r="D46" s="7">
        <v>7000</v>
      </c>
      <c r="E46" s="7">
        <v>7340</v>
      </c>
      <c r="F46" s="7">
        <f>E46/D46*100</f>
        <v>104.85714285714285</v>
      </c>
      <c r="G46" s="8" t="s">
        <v>272</v>
      </c>
    </row>
    <row r="47" spans="1:7" ht="13.5" customHeight="1">
      <c r="A47" s="4">
        <v>2119</v>
      </c>
      <c r="B47" s="5" t="s">
        <v>273</v>
      </c>
      <c r="C47" s="7">
        <v>0</v>
      </c>
      <c r="D47" s="7">
        <v>0</v>
      </c>
      <c r="E47" s="7">
        <v>16</v>
      </c>
      <c r="F47" s="7">
        <v>0</v>
      </c>
      <c r="G47" s="8" t="s">
        <v>274</v>
      </c>
    </row>
    <row r="48" spans="1:7" ht="13.5" customHeight="1">
      <c r="A48" s="4">
        <v>2122</v>
      </c>
      <c r="B48" s="5" t="s">
        <v>275</v>
      </c>
      <c r="C48" s="7">
        <v>0</v>
      </c>
      <c r="D48" s="7">
        <v>1500000</v>
      </c>
      <c r="E48" s="7">
        <v>1500000</v>
      </c>
      <c r="F48" s="7">
        <f>E48/D48*100</f>
        <v>100</v>
      </c>
      <c r="G48" s="8" t="s">
        <v>276</v>
      </c>
    </row>
    <row r="49" spans="1:7" ht="13.5" customHeight="1">
      <c r="A49" s="4">
        <v>2122</v>
      </c>
      <c r="B49" s="5" t="s">
        <v>275</v>
      </c>
      <c r="C49" s="7">
        <v>0</v>
      </c>
      <c r="D49" s="7">
        <v>6213221.91</v>
      </c>
      <c r="E49" s="7">
        <v>6213221.91</v>
      </c>
      <c r="F49" s="7">
        <f>E49/D49*100</f>
        <v>100</v>
      </c>
      <c r="G49" s="785" t="s">
        <v>277</v>
      </c>
    </row>
    <row r="50" spans="1:7" ht="13.5" customHeight="1">
      <c r="A50" s="4"/>
      <c r="B50" s="5"/>
      <c r="C50" s="7"/>
      <c r="D50" s="7"/>
      <c r="E50" s="7"/>
      <c r="F50" s="7"/>
      <c r="G50" s="785"/>
    </row>
    <row r="51" spans="1:7" ht="13.5" customHeight="1">
      <c r="A51" s="4">
        <v>2133</v>
      </c>
      <c r="B51" s="5" t="s">
        <v>278</v>
      </c>
      <c r="C51" s="7">
        <v>0</v>
      </c>
      <c r="D51" s="7">
        <v>0</v>
      </c>
      <c r="E51" s="7">
        <v>250000</v>
      </c>
      <c r="F51" s="7">
        <v>0</v>
      </c>
      <c r="G51" s="10" t="s">
        <v>279</v>
      </c>
    </row>
    <row r="52" spans="1:7" ht="13.5" customHeight="1">
      <c r="A52" s="4">
        <v>2141</v>
      </c>
      <c r="B52" s="5" t="s">
        <v>280</v>
      </c>
      <c r="C52" s="7">
        <v>6600000</v>
      </c>
      <c r="D52" s="7">
        <v>6600000</v>
      </c>
      <c r="E52" s="7">
        <v>8813835.32</v>
      </c>
      <c r="F52" s="7">
        <f>E52/D52*100</f>
        <v>133.5429593939394</v>
      </c>
      <c r="G52" s="22"/>
    </row>
    <row r="53" spans="1:7" ht="13.5" customHeight="1">
      <c r="A53" s="4">
        <v>2142</v>
      </c>
      <c r="B53" s="5" t="s">
        <v>281</v>
      </c>
      <c r="C53" s="7">
        <v>0</v>
      </c>
      <c r="D53" s="7">
        <v>5074122</v>
      </c>
      <c r="E53" s="7">
        <v>5074122</v>
      </c>
      <c r="F53" s="7">
        <f>E53/D53*100</f>
        <v>100</v>
      </c>
      <c r="G53" s="22" t="s">
        <v>282</v>
      </c>
    </row>
    <row r="54" spans="1:7" ht="13.5" customHeight="1">
      <c r="A54" s="4">
        <v>2142</v>
      </c>
      <c r="B54" s="5" t="s">
        <v>281</v>
      </c>
      <c r="C54" s="7">
        <v>0</v>
      </c>
      <c r="D54" s="7">
        <v>0</v>
      </c>
      <c r="E54" s="7">
        <v>451</v>
      </c>
      <c r="F54" s="7">
        <v>0</v>
      </c>
      <c r="G54" s="22" t="s">
        <v>283</v>
      </c>
    </row>
    <row r="55" spans="1:7" ht="13.5" customHeight="1">
      <c r="A55" s="4">
        <v>2210</v>
      </c>
      <c r="B55" s="5" t="s">
        <v>284</v>
      </c>
      <c r="C55" s="7">
        <v>1400000</v>
      </c>
      <c r="D55" s="7">
        <v>1400000</v>
      </c>
      <c r="E55" s="7">
        <f>E56+E57+E58+E59+E60+E61+E62+E63+E65</f>
        <v>1244498.5</v>
      </c>
      <c r="F55" s="7">
        <f>E55/D55*100</f>
        <v>88.89274999999999</v>
      </c>
      <c r="G55" s="8" t="s">
        <v>285</v>
      </c>
    </row>
    <row r="56" spans="1:7" ht="13.5" customHeight="1">
      <c r="A56" s="4"/>
      <c r="B56" s="5"/>
      <c r="C56" s="7"/>
      <c r="D56" s="7"/>
      <c r="E56" s="7">
        <v>7500</v>
      </c>
      <c r="F56" s="7"/>
      <c r="G56" s="8" t="s">
        <v>286</v>
      </c>
    </row>
    <row r="57" spans="1:7" ht="13.5" customHeight="1">
      <c r="A57" s="4"/>
      <c r="B57" s="5"/>
      <c r="C57" s="7"/>
      <c r="D57" s="7"/>
      <c r="E57" s="7">
        <v>180000</v>
      </c>
      <c r="F57" s="7"/>
      <c r="G57" s="8" t="s">
        <v>287</v>
      </c>
    </row>
    <row r="58" spans="1:7" ht="13.5" customHeight="1">
      <c r="A58" s="4"/>
      <c r="B58" s="5"/>
      <c r="C58" s="7"/>
      <c r="D58" s="7"/>
      <c r="E58" s="7">
        <v>142600</v>
      </c>
      <c r="F58" s="7"/>
      <c r="G58" s="8" t="s">
        <v>288</v>
      </c>
    </row>
    <row r="59" spans="1:7" ht="13.5" customHeight="1">
      <c r="A59" s="4"/>
      <c r="B59" s="5"/>
      <c r="C59" s="7"/>
      <c r="D59" s="7"/>
      <c r="E59" s="7">
        <v>74125</v>
      </c>
      <c r="F59" s="7"/>
      <c r="G59" s="8" t="s">
        <v>289</v>
      </c>
    </row>
    <row r="60" spans="1:7" ht="13.5" customHeight="1">
      <c r="A60" s="4"/>
      <c r="B60" s="5"/>
      <c r="C60" s="7"/>
      <c r="D60" s="7"/>
      <c r="E60" s="7">
        <v>109249</v>
      </c>
      <c r="F60" s="7"/>
      <c r="G60" s="8" t="s">
        <v>290</v>
      </c>
    </row>
    <row r="61" spans="1:7" ht="13.5" customHeight="1">
      <c r="A61" s="4"/>
      <c r="B61" s="5"/>
      <c r="C61" s="7"/>
      <c r="D61" s="7"/>
      <c r="E61" s="7">
        <v>2900</v>
      </c>
      <c r="F61" s="7"/>
      <c r="G61" s="8" t="s">
        <v>291</v>
      </c>
    </row>
    <row r="62" spans="1:7" ht="13.5" customHeight="1">
      <c r="A62" s="4"/>
      <c r="B62" s="5"/>
      <c r="C62" s="7"/>
      <c r="D62" s="7"/>
      <c r="E62" s="7">
        <v>664024.5</v>
      </c>
      <c r="F62" s="7"/>
      <c r="G62" s="8" t="s">
        <v>292</v>
      </c>
    </row>
    <row r="63" spans="1:7" ht="13.5" customHeight="1">
      <c r="A63" s="4"/>
      <c r="B63" s="5"/>
      <c r="C63" s="7"/>
      <c r="D63" s="7"/>
      <c r="E63" s="7">
        <v>50100</v>
      </c>
      <c r="F63" s="7"/>
      <c r="G63" s="8" t="s">
        <v>293</v>
      </c>
    </row>
    <row r="64" spans="1:7" ht="13.5" customHeight="1">
      <c r="A64" s="4"/>
      <c r="B64" s="5"/>
      <c r="C64" s="7"/>
      <c r="D64" s="7"/>
      <c r="E64" s="7">
        <v>42600</v>
      </c>
      <c r="F64" s="7"/>
      <c r="G64" s="8" t="s">
        <v>294</v>
      </c>
    </row>
    <row r="65" spans="1:7" ht="13.5" customHeight="1">
      <c r="A65" s="4"/>
      <c r="B65" s="5"/>
      <c r="C65" s="7"/>
      <c r="D65" s="7"/>
      <c r="E65" s="7">
        <v>14000</v>
      </c>
      <c r="F65" s="7"/>
      <c r="G65" s="8" t="s">
        <v>295</v>
      </c>
    </row>
    <row r="66" spans="1:7" ht="13.5" customHeight="1">
      <c r="A66" s="4">
        <v>2210</v>
      </c>
      <c r="B66" s="5" t="s">
        <v>284</v>
      </c>
      <c r="C66" s="7">
        <v>800000</v>
      </c>
      <c r="D66" s="7">
        <v>800000</v>
      </c>
      <c r="E66" s="7">
        <v>1583109</v>
      </c>
      <c r="F66" s="7">
        <f>E66/D66*100</f>
        <v>197.888625</v>
      </c>
      <c r="G66" s="8" t="s">
        <v>296</v>
      </c>
    </row>
    <row r="67" spans="1:7" ht="13.5" customHeight="1">
      <c r="A67" s="4">
        <v>2210</v>
      </c>
      <c r="B67" s="5" t="s">
        <v>284</v>
      </c>
      <c r="C67" s="7">
        <v>5000000</v>
      </c>
      <c r="D67" s="7">
        <v>5000000</v>
      </c>
      <c r="E67" s="7">
        <v>4402850</v>
      </c>
      <c r="F67" s="7">
        <f>E67/D67*100</f>
        <v>88.057</v>
      </c>
      <c r="G67" s="8" t="s">
        <v>297</v>
      </c>
    </row>
    <row r="68" spans="1:7" ht="13.5" customHeight="1">
      <c r="A68" s="4">
        <v>2210</v>
      </c>
      <c r="B68" s="5" t="s">
        <v>284</v>
      </c>
      <c r="C68" s="7">
        <v>5000000</v>
      </c>
      <c r="D68" s="7">
        <v>5000000</v>
      </c>
      <c r="E68" s="7">
        <f>E69+E70</f>
        <v>4202707</v>
      </c>
      <c r="F68" s="7">
        <f>E68/D68*100</f>
        <v>84.05414</v>
      </c>
      <c r="G68" s="8" t="s">
        <v>298</v>
      </c>
    </row>
    <row r="69" spans="1:7" ht="13.5" customHeight="1">
      <c r="A69" s="4"/>
      <c r="B69" s="5"/>
      <c r="C69" s="7"/>
      <c r="D69" s="7"/>
      <c r="E69" s="7">
        <v>4201107</v>
      </c>
      <c r="F69" s="7"/>
      <c r="G69" s="8" t="s">
        <v>299</v>
      </c>
    </row>
    <row r="70" spans="1:7" ht="13.5" customHeight="1">
      <c r="A70" s="4"/>
      <c r="B70" s="5"/>
      <c r="C70" s="7"/>
      <c r="D70" s="7"/>
      <c r="E70" s="7">
        <v>1600</v>
      </c>
      <c r="F70" s="7"/>
      <c r="G70" s="8" t="s">
        <v>300</v>
      </c>
    </row>
    <row r="71" spans="1:7" s="23" customFormat="1" ht="13.5" customHeight="1">
      <c r="A71" s="4">
        <v>2210</v>
      </c>
      <c r="B71" s="5" t="s">
        <v>284</v>
      </c>
      <c r="C71" s="7">
        <v>130000</v>
      </c>
      <c r="D71" s="7">
        <v>130000</v>
      </c>
      <c r="E71" s="7">
        <f>E72+E73+E74</f>
        <v>58729.5</v>
      </c>
      <c r="F71" s="7">
        <f>E71/D71*100</f>
        <v>45.17653846153846</v>
      </c>
      <c r="G71" s="8" t="s">
        <v>301</v>
      </c>
    </row>
    <row r="72" spans="1:7" s="23" customFormat="1" ht="13.5" customHeight="1">
      <c r="A72" s="4"/>
      <c r="B72" s="5"/>
      <c r="C72" s="7"/>
      <c r="D72" s="7"/>
      <c r="E72" s="7">
        <v>56329.5</v>
      </c>
      <c r="F72" s="7"/>
      <c r="G72" s="8" t="s">
        <v>302</v>
      </c>
    </row>
    <row r="73" spans="1:7" s="23" customFormat="1" ht="13.5" customHeight="1">
      <c r="A73" s="4"/>
      <c r="B73" s="5"/>
      <c r="C73" s="7"/>
      <c r="D73" s="7"/>
      <c r="E73" s="7">
        <v>1900</v>
      </c>
      <c r="F73" s="7"/>
      <c r="G73" s="8" t="s">
        <v>303</v>
      </c>
    </row>
    <row r="74" spans="1:7" s="23" customFormat="1" ht="13.5" customHeight="1">
      <c r="A74" s="4"/>
      <c r="B74" s="5"/>
      <c r="C74" s="7"/>
      <c r="D74" s="7"/>
      <c r="E74" s="7">
        <v>500</v>
      </c>
      <c r="F74" s="7"/>
      <c r="G74" s="8" t="s">
        <v>304</v>
      </c>
    </row>
    <row r="75" spans="1:7" s="23" customFormat="1" ht="13.5" customHeight="1">
      <c r="A75" s="4"/>
      <c r="B75" s="5"/>
      <c r="C75" s="7"/>
      <c r="D75" s="7"/>
      <c r="E75" s="7">
        <v>1000</v>
      </c>
      <c r="F75" s="7"/>
      <c r="G75" s="8" t="s">
        <v>305</v>
      </c>
    </row>
    <row r="76" spans="1:7" s="23" customFormat="1" ht="13.5" customHeight="1">
      <c r="A76" s="4">
        <v>2229</v>
      </c>
      <c r="B76" s="5" t="s">
        <v>306</v>
      </c>
      <c r="C76" s="7">
        <v>0</v>
      </c>
      <c r="D76" s="7">
        <v>0</v>
      </c>
      <c r="E76" s="7">
        <v>29255</v>
      </c>
      <c r="F76" s="7">
        <v>0</v>
      </c>
      <c r="G76" s="8" t="s">
        <v>307</v>
      </c>
    </row>
    <row r="77" spans="1:7" s="23" customFormat="1" ht="13.5" customHeight="1">
      <c r="A77" s="4">
        <v>2229</v>
      </c>
      <c r="B77" s="5" t="s">
        <v>306</v>
      </c>
      <c r="C77" s="7">
        <v>0</v>
      </c>
      <c r="D77" s="7">
        <v>0</v>
      </c>
      <c r="E77" s="7">
        <v>24586</v>
      </c>
      <c r="F77" s="7">
        <v>0</v>
      </c>
      <c r="G77" s="8" t="s">
        <v>308</v>
      </c>
    </row>
    <row r="78" spans="1:7" s="23" customFormat="1" ht="13.5" customHeight="1">
      <c r="A78" s="4">
        <v>2229</v>
      </c>
      <c r="B78" s="5" t="s">
        <v>306</v>
      </c>
      <c r="C78" s="7">
        <v>0</v>
      </c>
      <c r="D78" s="7">
        <v>0</v>
      </c>
      <c r="E78" s="7">
        <v>580</v>
      </c>
      <c r="F78" s="7">
        <v>0</v>
      </c>
      <c r="G78" s="8" t="s">
        <v>309</v>
      </c>
    </row>
    <row r="79" spans="1:7" s="23" customFormat="1" ht="13.5" customHeight="1">
      <c r="A79" s="4">
        <v>2310</v>
      </c>
      <c r="B79" s="5" t="s">
        <v>310</v>
      </c>
      <c r="C79" s="7">
        <v>0</v>
      </c>
      <c r="D79" s="7">
        <v>0</v>
      </c>
      <c r="E79" s="7">
        <v>10000</v>
      </c>
      <c r="F79" s="7">
        <v>0</v>
      </c>
      <c r="G79" s="8" t="s">
        <v>311</v>
      </c>
    </row>
    <row r="80" spans="1:7" s="23" customFormat="1" ht="13.5" customHeight="1">
      <c r="A80" s="4">
        <v>2321</v>
      </c>
      <c r="B80" s="5" t="s">
        <v>312</v>
      </c>
      <c r="C80" s="7">
        <v>0</v>
      </c>
      <c r="D80" s="7">
        <v>310660.97</v>
      </c>
      <c r="E80" s="7">
        <v>45000</v>
      </c>
      <c r="F80" s="7">
        <f>E80/D80*100</f>
        <v>14.485244155389074</v>
      </c>
      <c r="G80" s="785" t="s">
        <v>427</v>
      </c>
    </row>
    <row r="81" spans="1:7" s="23" customFormat="1" ht="13.5" customHeight="1">
      <c r="A81" s="4"/>
      <c r="B81" s="5"/>
      <c r="C81" s="7"/>
      <c r="D81" s="7"/>
      <c r="E81" s="7"/>
      <c r="F81" s="7"/>
      <c r="G81" s="784"/>
    </row>
    <row r="82" spans="1:7" s="23" customFormat="1" ht="13.5" customHeight="1">
      <c r="A82" s="4"/>
      <c r="B82" s="5"/>
      <c r="C82" s="7"/>
      <c r="D82" s="7"/>
      <c r="E82" s="7"/>
      <c r="F82" s="7"/>
      <c r="G82" s="784"/>
    </row>
    <row r="83" spans="1:7" s="23" customFormat="1" ht="13.5" customHeight="1">
      <c r="A83" s="4"/>
      <c r="B83" s="5"/>
      <c r="C83" s="7"/>
      <c r="D83" s="7"/>
      <c r="E83" s="7"/>
      <c r="F83" s="7"/>
      <c r="G83" s="784"/>
    </row>
    <row r="84" spans="1:7" s="23" customFormat="1" ht="13.5" customHeight="1">
      <c r="A84" s="4"/>
      <c r="B84" s="5"/>
      <c r="C84" s="7"/>
      <c r="D84" s="7"/>
      <c r="E84" s="7"/>
      <c r="F84" s="7"/>
      <c r="G84" s="784"/>
    </row>
    <row r="85" spans="1:7" s="23" customFormat="1" ht="13.5" customHeight="1">
      <c r="A85" s="4">
        <v>2322</v>
      </c>
      <c r="B85" s="5" t="s">
        <v>313</v>
      </c>
      <c r="C85" s="7">
        <v>0</v>
      </c>
      <c r="D85" s="7">
        <v>238962</v>
      </c>
      <c r="E85" s="7">
        <v>395126</v>
      </c>
      <c r="F85" s="7">
        <f>E85/D85*100</f>
        <v>165.35097630585616</v>
      </c>
      <c r="G85" s="8"/>
    </row>
    <row r="86" spans="1:7" s="23" customFormat="1" ht="13.5" customHeight="1">
      <c r="A86" s="4">
        <v>2322</v>
      </c>
      <c r="B86" s="5" t="s">
        <v>313</v>
      </c>
      <c r="C86" s="7">
        <v>0</v>
      </c>
      <c r="D86" s="7">
        <v>4933686</v>
      </c>
      <c r="E86" s="7">
        <v>4933686</v>
      </c>
      <c r="F86" s="7">
        <f>E86/D86*100</f>
        <v>100</v>
      </c>
      <c r="G86" s="785" t="s">
        <v>314</v>
      </c>
    </row>
    <row r="87" spans="1:7" s="23" customFormat="1" ht="13.5" customHeight="1">
      <c r="A87" s="4"/>
      <c r="B87" s="5"/>
      <c r="C87" s="7"/>
      <c r="D87" s="7"/>
      <c r="E87" s="7"/>
      <c r="F87" s="7"/>
      <c r="G87" s="785"/>
    </row>
    <row r="88" spans="1:7" s="23" customFormat="1" ht="13.5" customHeight="1">
      <c r="A88" s="4">
        <v>2324</v>
      </c>
      <c r="B88" s="5" t="s">
        <v>315</v>
      </c>
      <c r="C88" s="7">
        <v>0</v>
      </c>
      <c r="D88" s="7">
        <v>0</v>
      </c>
      <c r="E88" s="7">
        <v>16942</v>
      </c>
      <c r="F88" s="7">
        <v>0</v>
      </c>
      <c r="G88" s="8" t="s">
        <v>316</v>
      </c>
    </row>
    <row r="89" spans="1:7" ht="13.5" customHeight="1">
      <c r="A89" s="4">
        <v>2324</v>
      </c>
      <c r="B89" s="5" t="s">
        <v>315</v>
      </c>
      <c r="C89" s="7">
        <v>10000</v>
      </c>
      <c r="D89" s="7">
        <v>10000</v>
      </c>
      <c r="E89" s="7">
        <v>10000</v>
      </c>
      <c r="F89" s="7">
        <f>E89/D89*100</f>
        <v>100</v>
      </c>
      <c r="G89" s="8" t="s">
        <v>317</v>
      </c>
    </row>
    <row r="90" spans="1:7" ht="13.5" customHeight="1">
      <c r="A90" s="4">
        <v>2324</v>
      </c>
      <c r="B90" s="5" t="s">
        <v>315</v>
      </c>
      <c r="C90" s="7">
        <v>5720000</v>
      </c>
      <c r="D90" s="7">
        <v>5720000</v>
      </c>
      <c r="E90" s="7">
        <v>6253780</v>
      </c>
      <c r="F90" s="7">
        <f>E90/D90*100</f>
        <v>109.33181818181819</v>
      </c>
      <c r="G90" s="8" t="s">
        <v>318</v>
      </c>
    </row>
    <row r="91" spans="1:7" ht="13.5" customHeight="1">
      <c r="A91" s="4">
        <v>2324</v>
      </c>
      <c r="B91" s="5" t="s">
        <v>315</v>
      </c>
      <c r="C91" s="7">
        <v>1000000</v>
      </c>
      <c r="D91" s="7">
        <v>1255270</v>
      </c>
      <c r="E91" s="7">
        <v>1357366.19</v>
      </c>
      <c r="F91" s="7">
        <f>E91/D91*100</f>
        <v>108.13340476550862</v>
      </c>
      <c r="G91" s="785" t="s">
        <v>319</v>
      </c>
    </row>
    <row r="92" spans="1:7" ht="13.5" customHeight="1">
      <c r="A92" s="4"/>
      <c r="B92" s="5"/>
      <c r="C92" s="7"/>
      <c r="D92" s="7"/>
      <c r="E92" s="7"/>
      <c r="F92" s="7"/>
      <c r="G92" s="785"/>
    </row>
    <row r="93" spans="1:7" ht="13.5" customHeight="1">
      <c r="A93" s="4">
        <v>2324</v>
      </c>
      <c r="B93" s="5" t="s">
        <v>315</v>
      </c>
      <c r="C93" s="7">
        <v>50000</v>
      </c>
      <c r="D93" s="7">
        <v>50000</v>
      </c>
      <c r="E93" s="7">
        <v>73650</v>
      </c>
      <c r="F93" s="7">
        <f>E93/D93*100</f>
        <v>147.3</v>
      </c>
      <c r="G93" s="8" t="s">
        <v>320</v>
      </c>
    </row>
    <row r="94" spans="1:7" ht="13.5" customHeight="1">
      <c r="A94" s="4">
        <v>2324</v>
      </c>
      <c r="B94" s="5" t="s">
        <v>315</v>
      </c>
      <c r="C94" s="7">
        <v>0</v>
      </c>
      <c r="D94" s="7">
        <v>2437336.4</v>
      </c>
      <c r="E94" s="7">
        <v>2437336.4</v>
      </c>
      <c r="F94" s="7">
        <f>E94/D94*100</f>
        <v>100</v>
      </c>
      <c r="G94" s="8" t="s">
        <v>321</v>
      </c>
    </row>
    <row r="95" spans="1:7" ht="13.5" customHeight="1">
      <c r="A95" s="4">
        <v>2324</v>
      </c>
      <c r="B95" s="5" t="s">
        <v>315</v>
      </c>
      <c r="C95" s="7">
        <v>0</v>
      </c>
      <c r="D95" s="7">
        <v>0</v>
      </c>
      <c r="E95" s="7">
        <v>18270</v>
      </c>
      <c r="F95" s="7">
        <v>0</v>
      </c>
      <c r="G95" s="8" t="s">
        <v>322</v>
      </c>
    </row>
    <row r="96" spans="1:7" ht="13.5" customHeight="1">
      <c r="A96" s="4">
        <v>2324</v>
      </c>
      <c r="B96" s="5" t="s">
        <v>315</v>
      </c>
      <c r="C96" s="7">
        <v>0</v>
      </c>
      <c r="D96" s="7">
        <v>438607.68</v>
      </c>
      <c r="E96" s="7">
        <v>438607.68</v>
      </c>
      <c r="F96" s="7">
        <f>E96/D96*100</f>
        <v>100</v>
      </c>
      <c r="G96" s="8" t="s">
        <v>323</v>
      </c>
    </row>
    <row r="97" spans="1:7" ht="13.5" customHeight="1">
      <c r="A97" s="4">
        <v>2324</v>
      </c>
      <c r="B97" s="5" t="s">
        <v>315</v>
      </c>
      <c r="C97" s="7">
        <v>0</v>
      </c>
      <c r="D97" s="7">
        <v>50000</v>
      </c>
      <c r="E97" s="7">
        <v>50000</v>
      </c>
      <c r="F97" s="7">
        <f>E97/D97*100</f>
        <v>100</v>
      </c>
      <c r="G97" s="8" t="s">
        <v>324</v>
      </c>
    </row>
    <row r="98" spans="1:7" ht="13.5" customHeight="1">
      <c r="A98" s="4">
        <v>2328</v>
      </c>
      <c r="B98" s="5" t="s">
        <v>325</v>
      </c>
      <c r="C98" s="7">
        <v>0</v>
      </c>
      <c r="D98" s="7">
        <v>0</v>
      </c>
      <c r="E98" s="7">
        <v>180004.24</v>
      </c>
      <c r="F98" s="7">
        <v>0</v>
      </c>
      <c r="G98" s="8" t="s">
        <v>326</v>
      </c>
    </row>
    <row r="99" spans="1:7" ht="13.5" customHeight="1">
      <c r="A99" s="4">
        <v>2329</v>
      </c>
      <c r="B99" s="5" t="s">
        <v>327</v>
      </c>
      <c r="C99" s="7">
        <v>180000</v>
      </c>
      <c r="D99" s="7">
        <v>208966</v>
      </c>
      <c r="E99" s="7">
        <v>185547.2</v>
      </c>
      <c r="F99" s="7">
        <f>E99/D99*100</f>
        <v>88.79300938908723</v>
      </c>
      <c r="G99" s="785" t="s">
        <v>328</v>
      </c>
    </row>
    <row r="100" spans="1:7" ht="13.5" customHeight="1">
      <c r="A100" s="4"/>
      <c r="B100" s="5"/>
      <c r="C100" s="7"/>
      <c r="D100" s="7"/>
      <c r="E100" s="7"/>
      <c r="F100" s="7"/>
      <c r="G100" s="785"/>
    </row>
    <row r="101" spans="1:7" ht="13.5" customHeight="1">
      <c r="A101" s="4">
        <v>2329</v>
      </c>
      <c r="B101" s="5" t="s">
        <v>327</v>
      </c>
      <c r="C101" s="7">
        <v>0</v>
      </c>
      <c r="D101" s="7">
        <v>0</v>
      </c>
      <c r="E101" s="7">
        <v>30628.5</v>
      </c>
      <c r="F101" s="7">
        <v>0</v>
      </c>
      <c r="G101" s="10" t="s">
        <v>329</v>
      </c>
    </row>
    <row r="102" spans="1:7" ht="13.5" customHeight="1">
      <c r="A102" s="4">
        <v>2329</v>
      </c>
      <c r="B102" s="5" t="s">
        <v>327</v>
      </c>
      <c r="C102" s="7">
        <v>0</v>
      </c>
      <c r="D102" s="7">
        <v>0</v>
      </c>
      <c r="E102" s="7">
        <v>31617</v>
      </c>
      <c r="F102" s="7">
        <v>0</v>
      </c>
      <c r="G102" s="10" t="s">
        <v>330</v>
      </c>
    </row>
    <row r="103" spans="1:7" ht="13.5" customHeight="1">
      <c r="A103" s="4">
        <v>2329</v>
      </c>
      <c r="B103" s="5" t="s">
        <v>327</v>
      </c>
      <c r="C103" s="7">
        <v>0</v>
      </c>
      <c r="D103" s="7">
        <v>322000</v>
      </c>
      <c r="E103" s="7">
        <v>122000</v>
      </c>
      <c r="F103" s="7">
        <v>0</v>
      </c>
      <c r="G103" s="10" t="s">
        <v>331</v>
      </c>
    </row>
    <row r="104" spans="1:7" ht="13.5" customHeight="1">
      <c r="A104" s="4">
        <v>2329</v>
      </c>
      <c r="B104" s="5" t="s">
        <v>327</v>
      </c>
      <c r="C104" s="7">
        <v>0</v>
      </c>
      <c r="D104" s="7">
        <v>0</v>
      </c>
      <c r="E104" s="7">
        <v>57400</v>
      </c>
      <c r="F104" s="7">
        <v>0</v>
      </c>
      <c r="G104" s="10" t="s">
        <v>332</v>
      </c>
    </row>
    <row r="105" spans="1:7" ht="13.5" customHeight="1">
      <c r="A105" s="4">
        <v>2329</v>
      </c>
      <c r="B105" s="5" t="s">
        <v>327</v>
      </c>
      <c r="C105" s="7">
        <v>236865000</v>
      </c>
      <c r="D105" s="7">
        <v>74049221.2</v>
      </c>
      <c r="E105" s="7">
        <v>0</v>
      </c>
      <c r="F105" s="7">
        <f>E105/D105*100</f>
        <v>0</v>
      </c>
      <c r="G105" s="17"/>
    </row>
    <row r="106" spans="1:7" ht="13.5" customHeight="1">
      <c r="A106" s="4">
        <v>2343</v>
      </c>
      <c r="B106" s="5" t="s">
        <v>333</v>
      </c>
      <c r="C106" s="7">
        <v>11000</v>
      </c>
      <c r="D106" s="7">
        <v>11000</v>
      </c>
      <c r="E106" s="7">
        <v>3763</v>
      </c>
      <c r="F106" s="7">
        <f>E106/D106*100</f>
        <v>34.20909090909091</v>
      </c>
      <c r="G106" s="8"/>
    </row>
    <row r="107" spans="1:7" ht="13.5" customHeight="1">
      <c r="A107" s="4">
        <v>2460</v>
      </c>
      <c r="B107" s="5" t="s">
        <v>334</v>
      </c>
      <c r="C107" s="7">
        <v>30000</v>
      </c>
      <c r="D107" s="7">
        <v>30000</v>
      </c>
      <c r="E107" s="7">
        <v>30000</v>
      </c>
      <c r="F107" s="7">
        <f>E107/D107*100</f>
        <v>100</v>
      </c>
      <c r="G107" s="8" t="s">
        <v>335</v>
      </c>
    </row>
    <row r="108" spans="1:7" ht="13.5" customHeight="1">
      <c r="A108" s="4">
        <v>2460</v>
      </c>
      <c r="B108" s="5" t="s">
        <v>334</v>
      </c>
      <c r="C108" s="7">
        <v>0</v>
      </c>
      <c r="D108" s="7">
        <v>0</v>
      </c>
      <c r="E108" s="7">
        <v>359800</v>
      </c>
      <c r="F108" s="7">
        <v>0</v>
      </c>
      <c r="G108" s="8" t="s">
        <v>336</v>
      </c>
    </row>
    <row r="109" spans="1:7" ht="13.5" customHeight="1">
      <c r="A109" s="4">
        <v>2460</v>
      </c>
      <c r="B109" s="5" t="s">
        <v>334</v>
      </c>
      <c r="C109" s="7">
        <v>0</v>
      </c>
      <c r="D109" s="7">
        <v>0</v>
      </c>
      <c r="E109" s="7">
        <v>320</v>
      </c>
      <c r="F109" s="7">
        <v>0</v>
      </c>
      <c r="G109" s="8" t="s">
        <v>337</v>
      </c>
    </row>
    <row r="110" spans="1:7" ht="13.5" customHeight="1">
      <c r="A110" s="4">
        <v>2460</v>
      </c>
      <c r="B110" s="5" t="s">
        <v>334</v>
      </c>
      <c r="C110" s="7">
        <v>0</v>
      </c>
      <c r="D110" s="7">
        <v>0</v>
      </c>
      <c r="E110" s="7">
        <v>900</v>
      </c>
      <c r="F110" s="7">
        <v>0</v>
      </c>
      <c r="G110" s="8" t="s">
        <v>338</v>
      </c>
    </row>
    <row r="111" spans="1:7" ht="13.5" customHeight="1" thickBot="1">
      <c r="A111" s="4">
        <v>2460</v>
      </c>
      <c r="B111" s="5" t="s">
        <v>334</v>
      </c>
      <c r="C111" s="11">
        <v>35085000</v>
      </c>
      <c r="D111" s="11">
        <v>35085000</v>
      </c>
      <c r="E111" s="7">
        <v>39400298.78</v>
      </c>
      <c r="F111" s="7">
        <f>E111/D111*100</f>
        <v>112.29955473849225</v>
      </c>
      <c r="G111" s="8" t="s">
        <v>339</v>
      </c>
    </row>
    <row r="112" spans="1:8" ht="13.5" customHeight="1" thickBot="1">
      <c r="A112" s="4"/>
      <c r="B112" s="19" t="s">
        <v>340</v>
      </c>
      <c r="C112" s="20">
        <f>SUM(C37:C111)</f>
        <v>300078000</v>
      </c>
      <c r="D112" s="20">
        <f>SUM(D37:D111)</f>
        <v>159161554.16</v>
      </c>
      <c r="E112" s="20">
        <f>E37+E38+E39+E40+E41+E42+E43+E44+E45+E46+E47+E48+E49+E51+E52+E53+E54+E55+E64+E66+E67+E68+E71+E75+E76+E77+E78+E79+E80+E85+E86+E88+E89+E90+E91+E93+E94+E95+E96+E97+E98+E99+E101+E102+E103+E104+E105+E106+E107+E108+E109+E110+E111</f>
        <v>92900384.62</v>
      </c>
      <c r="F112" s="20">
        <f>E112/D112*100</f>
        <v>58.368608619271356</v>
      </c>
      <c r="G112" s="8"/>
      <c r="H112" s="14"/>
    </row>
    <row r="113" spans="1:8" ht="13.5" customHeight="1">
      <c r="A113" s="4">
        <v>3112</v>
      </c>
      <c r="B113" s="5" t="s">
        <v>341</v>
      </c>
      <c r="C113" s="7">
        <v>0</v>
      </c>
      <c r="D113" s="7">
        <v>0</v>
      </c>
      <c r="E113" s="7">
        <v>5201.8</v>
      </c>
      <c r="F113" s="7">
        <v>0</v>
      </c>
      <c r="G113" s="8" t="s">
        <v>342</v>
      </c>
      <c r="H113" s="14"/>
    </row>
    <row r="114" spans="1:8" ht="13.5" customHeight="1">
      <c r="A114" s="4">
        <v>3121</v>
      </c>
      <c r="B114" s="5" t="s">
        <v>343</v>
      </c>
      <c r="C114" s="7">
        <v>0</v>
      </c>
      <c r="D114" s="7">
        <v>3314250</v>
      </c>
      <c r="E114" s="7">
        <v>3315750</v>
      </c>
      <c r="F114" s="7">
        <f>E114/D114*100</f>
        <v>100.04525910839557</v>
      </c>
      <c r="G114" s="785" t="s">
        <v>344</v>
      </c>
      <c r="H114" s="14"/>
    </row>
    <row r="115" spans="1:8" ht="13.5" customHeight="1">
      <c r="A115" s="4"/>
      <c r="B115" s="5"/>
      <c r="C115" s="7"/>
      <c r="D115" s="7"/>
      <c r="E115" s="7"/>
      <c r="F115" s="7"/>
      <c r="G115" s="785"/>
      <c r="H115" s="14"/>
    </row>
    <row r="116" spans="1:8" ht="13.5" customHeight="1">
      <c r="A116" s="4">
        <v>3121</v>
      </c>
      <c r="B116" s="5" t="s">
        <v>343</v>
      </c>
      <c r="C116" s="7">
        <v>0</v>
      </c>
      <c r="D116" s="7">
        <v>32000</v>
      </c>
      <c r="E116" s="7">
        <v>32000</v>
      </c>
      <c r="F116" s="7">
        <f aca="true" t="shared" si="1" ref="F116:F123">E116/D116*100</f>
        <v>100</v>
      </c>
      <c r="G116" s="10" t="s">
        <v>345</v>
      </c>
      <c r="H116" s="14"/>
    </row>
    <row r="117" spans="1:8" ht="13.5" customHeight="1">
      <c r="A117" s="4">
        <v>3122</v>
      </c>
      <c r="B117" s="5" t="s">
        <v>346</v>
      </c>
      <c r="C117" s="7">
        <v>0</v>
      </c>
      <c r="D117" s="7">
        <v>11287383.12</v>
      </c>
      <c r="E117" s="7">
        <v>11287383.12</v>
      </c>
      <c r="F117" s="7">
        <f t="shared" si="1"/>
        <v>100</v>
      </c>
      <c r="G117" s="8" t="s">
        <v>347</v>
      </c>
      <c r="H117" s="14"/>
    </row>
    <row r="118" spans="1:8" ht="13.5" customHeight="1" thickBot="1">
      <c r="A118" s="4">
        <v>3122</v>
      </c>
      <c r="B118" s="5" t="s">
        <v>346</v>
      </c>
      <c r="C118" s="7">
        <v>0</v>
      </c>
      <c r="D118" s="7">
        <v>637664.6</v>
      </c>
      <c r="E118" s="7">
        <v>637664.6</v>
      </c>
      <c r="F118" s="7">
        <f t="shared" si="1"/>
        <v>100</v>
      </c>
      <c r="G118" s="8" t="s">
        <v>348</v>
      </c>
      <c r="H118" s="14"/>
    </row>
    <row r="119" spans="1:8" ht="13.5" customHeight="1" thickBot="1">
      <c r="A119" s="4"/>
      <c r="B119" s="19" t="s">
        <v>349</v>
      </c>
      <c r="C119" s="20">
        <v>0</v>
      </c>
      <c r="D119" s="20">
        <f>SUM(D113:D118)</f>
        <v>15271297.719999999</v>
      </c>
      <c r="E119" s="20">
        <f>SUM(E113:E118)</f>
        <v>15277999.519999998</v>
      </c>
      <c r="F119" s="20">
        <f t="shared" si="1"/>
        <v>100.04388494103695</v>
      </c>
      <c r="G119" s="8"/>
      <c r="H119" s="14"/>
    </row>
    <row r="120" spans="1:8" ht="13.5" customHeight="1">
      <c r="A120" s="4">
        <v>4111</v>
      </c>
      <c r="B120" s="5" t="s">
        <v>350</v>
      </c>
      <c r="C120" s="7">
        <v>0</v>
      </c>
      <c r="D120" s="7">
        <v>345000</v>
      </c>
      <c r="E120" s="7">
        <v>345000</v>
      </c>
      <c r="F120" s="7">
        <f t="shared" si="1"/>
        <v>100</v>
      </c>
      <c r="G120" s="18" t="s">
        <v>375</v>
      </c>
      <c r="H120" s="14"/>
    </row>
    <row r="121" spans="1:8" ht="13.5" customHeight="1">
      <c r="A121" s="4">
        <v>4111</v>
      </c>
      <c r="B121" s="5" t="s">
        <v>350</v>
      </c>
      <c r="C121" s="7">
        <v>0</v>
      </c>
      <c r="D121" s="7">
        <v>2067000</v>
      </c>
      <c r="E121" s="7">
        <v>2067000</v>
      </c>
      <c r="F121" s="7">
        <f t="shared" si="1"/>
        <v>100</v>
      </c>
      <c r="G121" s="18" t="s">
        <v>376</v>
      </c>
      <c r="H121" s="14"/>
    </row>
    <row r="122" spans="1:8" ht="13.5" customHeight="1">
      <c r="A122" s="4">
        <v>4111</v>
      </c>
      <c r="B122" s="5" t="s">
        <v>350</v>
      </c>
      <c r="C122" s="7">
        <v>0</v>
      </c>
      <c r="D122" s="7">
        <v>1775000</v>
      </c>
      <c r="E122" s="7">
        <v>1775000</v>
      </c>
      <c r="F122" s="7">
        <f t="shared" si="1"/>
        <v>100</v>
      </c>
      <c r="G122" s="18" t="s">
        <v>377</v>
      </c>
      <c r="H122" s="14"/>
    </row>
    <row r="123" spans="1:8" ht="13.5" customHeight="1">
      <c r="A123" s="4">
        <v>4111</v>
      </c>
      <c r="B123" s="5" t="s">
        <v>350</v>
      </c>
      <c r="C123" s="7">
        <v>0</v>
      </c>
      <c r="D123" s="7">
        <v>4463341</v>
      </c>
      <c r="E123" s="7">
        <v>4463341</v>
      </c>
      <c r="F123" s="7">
        <f t="shared" si="1"/>
        <v>100</v>
      </c>
      <c r="G123" s="783" t="s">
        <v>378</v>
      </c>
      <c r="H123" s="14"/>
    </row>
    <row r="124" spans="1:8" ht="13.5" customHeight="1">
      <c r="A124" s="4"/>
      <c r="B124" s="5"/>
      <c r="C124" s="7"/>
      <c r="D124" s="7"/>
      <c r="E124" s="7"/>
      <c r="F124" s="7"/>
      <c r="G124" s="783"/>
      <c r="H124" s="14"/>
    </row>
    <row r="125" spans="1:8" ht="13.5" customHeight="1">
      <c r="A125" s="4">
        <v>4111</v>
      </c>
      <c r="B125" s="5" t="s">
        <v>350</v>
      </c>
      <c r="C125" s="7">
        <v>0</v>
      </c>
      <c r="D125" s="7">
        <v>582000</v>
      </c>
      <c r="E125" s="7">
        <v>582000</v>
      </c>
      <c r="F125" s="7">
        <f>E125/D125*100</f>
        <v>100</v>
      </c>
      <c r="G125" s="24" t="s">
        <v>379</v>
      </c>
      <c r="H125" s="14"/>
    </row>
    <row r="126" spans="1:7" ht="13.5" customHeight="1">
      <c r="A126" s="4">
        <v>4112</v>
      </c>
      <c r="B126" s="5" t="s">
        <v>351</v>
      </c>
      <c r="C126" s="7">
        <v>293881311</v>
      </c>
      <c r="D126" s="7">
        <v>290881311</v>
      </c>
      <c r="E126" s="7">
        <v>290881311</v>
      </c>
      <c r="F126" s="7">
        <f>E126/D126*100</f>
        <v>100</v>
      </c>
      <c r="G126" s="785" t="s">
        <v>352</v>
      </c>
    </row>
    <row r="127" spans="1:7" ht="13.5" customHeight="1">
      <c r="A127" s="4"/>
      <c r="B127" s="5"/>
      <c r="C127" s="7"/>
      <c r="D127" s="7"/>
      <c r="E127" s="7"/>
      <c r="F127" s="7"/>
      <c r="G127" s="783"/>
    </row>
    <row r="128" spans="1:7" ht="13.5" customHeight="1">
      <c r="A128" s="4">
        <v>4113</v>
      </c>
      <c r="B128" s="5" t="s">
        <v>353</v>
      </c>
      <c r="C128" s="7">
        <v>0</v>
      </c>
      <c r="D128" s="7">
        <v>1109204</v>
      </c>
      <c r="E128" s="7">
        <v>1109204</v>
      </c>
      <c r="F128" s="7">
        <f aca="true" t="shared" si="2" ref="F128:F134">E128/D128*100</f>
        <v>100</v>
      </c>
      <c r="G128" s="18" t="s">
        <v>380</v>
      </c>
    </row>
    <row r="129" spans="1:7" ht="13.5" customHeight="1">
      <c r="A129" s="4">
        <v>4113</v>
      </c>
      <c r="B129" s="5" t="s">
        <v>353</v>
      </c>
      <c r="C129" s="7">
        <v>0</v>
      </c>
      <c r="D129" s="7">
        <v>4134448</v>
      </c>
      <c r="E129" s="7">
        <v>4134448</v>
      </c>
      <c r="F129" s="7">
        <f t="shared" si="2"/>
        <v>100</v>
      </c>
      <c r="G129" s="24" t="s">
        <v>381</v>
      </c>
    </row>
    <row r="130" spans="1:7" ht="13.5" customHeight="1">
      <c r="A130" s="4">
        <v>4116</v>
      </c>
      <c r="B130" s="5" t="s">
        <v>354</v>
      </c>
      <c r="C130" s="7">
        <v>0</v>
      </c>
      <c r="D130" s="7">
        <v>42717</v>
      </c>
      <c r="E130" s="7">
        <v>42717</v>
      </c>
      <c r="F130" s="7">
        <f t="shared" si="2"/>
        <v>100</v>
      </c>
      <c r="G130" s="24" t="s">
        <v>382</v>
      </c>
    </row>
    <row r="131" spans="1:7" ht="13.5" customHeight="1">
      <c r="A131" s="4">
        <v>4116</v>
      </c>
      <c r="B131" s="5" t="s">
        <v>354</v>
      </c>
      <c r="C131" s="7">
        <v>0</v>
      </c>
      <c r="D131" s="7">
        <v>48217</v>
      </c>
      <c r="E131" s="7">
        <v>48217</v>
      </c>
      <c r="F131" s="7">
        <f t="shared" si="2"/>
        <v>100</v>
      </c>
      <c r="G131" s="24" t="s">
        <v>383</v>
      </c>
    </row>
    <row r="132" spans="1:7" ht="13.5" customHeight="1">
      <c r="A132" s="4">
        <v>4116</v>
      </c>
      <c r="B132" s="5" t="s">
        <v>354</v>
      </c>
      <c r="C132" s="7">
        <v>0</v>
      </c>
      <c r="D132" s="7">
        <v>531428</v>
      </c>
      <c r="E132" s="7">
        <v>531428</v>
      </c>
      <c r="F132" s="7">
        <f t="shared" si="2"/>
        <v>100</v>
      </c>
      <c r="G132" s="24" t="s">
        <v>384</v>
      </c>
    </row>
    <row r="133" spans="1:7" ht="13.5" customHeight="1">
      <c r="A133" s="4">
        <v>4116</v>
      </c>
      <c r="B133" s="5" t="s">
        <v>354</v>
      </c>
      <c r="C133" s="7">
        <v>0</v>
      </c>
      <c r="D133" s="7">
        <v>960000</v>
      </c>
      <c r="E133" s="7">
        <v>960000</v>
      </c>
      <c r="F133" s="7">
        <f t="shared" si="2"/>
        <v>100</v>
      </c>
      <c r="G133" s="24" t="s">
        <v>385</v>
      </c>
    </row>
    <row r="134" spans="1:7" ht="13.5" customHeight="1">
      <c r="A134" s="4">
        <v>4116</v>
      </c>
      <c r="B134" s="5" t="s">
        <v>354</v>
      </c>
      <c r="C134" s="7">
        <v>0</v>
      </c>
      <c r="D134" s="7">
        <v>2614833</v>
      </c>
      <c r="E134" s="7">
        <v>2614833.5</v>
      </c>
      <c r="F134" s="7">
        <f t="shared" si="2"/>
        <v>100.00001912168004</v>
      </c>
      <c r="G134" s="783" t="s">
        <v>386</v>
      </c>
    </row>
    <row r="135" spans="1:7" ht="13.5" customHeight="1">
      <c r="A135" s="4"/>
      <c r="B135" s="5"/>
      <c r="C135" s="7"/>
      <c r="D135" s="7"/>
      <c r="E135" s="7"/>
      <c r="F135" s="7"/>
      <c r="G135" s="783"/>
    </row>
    <row r="136" spans="1:7" ht="13.5" customHeight="1">
      <c r="A136" s="4">
        <v>4116</v>
      </c>
      <c r="B136" s="5" t="s">
        <v>354</v>
      </c>
      <c r="C136" s="7">
        <v>0</v>
      </c>
      <c r="D136" s="7">
        <v>102761</v>
      </c>
      <c r="E136" s="7">
        <v>102761</v>
      </c>
      <c r="F136" s="7">
        <f aca="true" t="shared" si="3" ref="F136:F143">E136/D136*100</f>
        <v>100</v>
      </c>
      <c r="G136" s="24" t="s">
        <v>387</v>
      </c>
    </row>
    <row r="137" spans="1:7" ht="13.5" customHeight="1">
      <c r="A137" s="4">
        <v>4116</v>
      </c>
      <c r="B137" s="5" t="s">
        <v>354</v>
      </c>
      <c r="C137" s="7">
        <v>0</v>
      </c>
      <c r="D137" s="7">
        <v>3180000</v>
      </c>
      <c r="E137" s="7">
        <v>3180000</v>
      </c>
      <c r="F137" s="7">
        <f t="shared" si="3"/>
        <v>100</v>
      </c>
      <c r="G137" s="24" t="s">
        <v>388</v>
      </c>
    </row>
    <row r="138" spans="1:7" ht="13.5" customHeight="1">
      <c r="A138" s="4">
        <v>4116</v>
      </c>
      <c r="B138" s="5" t="s">
        <v>354</v>
      </c>
      <c r="C138" s="7">
        <v>0</v>
      </c>
      <c r="D138" s="7">
        <v>360000</v>
      </c>
      <c r="E138" s="7">
        <v>360000</v>
      </c>
      <c r="F138" s="7">
        <f t="shared" si="3"/>
        <v>100</v>
      </c>
      <c r="G138" s="24" t="s">
        <v>389</v>
      </c>
    </row>
    <row r="139" spans="1:7" ht="13.5" customHeight="1">
      <c r="A139" s="4">
        <v>4116</v>
      </c>
      <c r="B139" s="5" t="s">
        <v>354</v>
      </c>
      <c r="C139" s="7">
        <v>0</v>
      </c>
      <c r="D139" s="7">
        <v>2788137</v>
      </c>
      <c r="E139" s="7">
        <v>2788137</v>
      </c>
      <c r="F139" s="7">
        <f t="shared" si="3"/>
        <v>100</v>
      </c>
      <c r="G139" s="24" t="s">
        <v>390</v>
      </c>
    </row>
    <row r="140" spans="1:7" ht="13.5" customHeight="1">
      <c r="A140" s="4">
        <v>4116</v>
      </c>
      <c r="B140" s="5" t="s">
        <v>354</v>
      </c>
      <c r="C140" s="7">
        <v>0</v>
      </c>
      <c r="D140" s="7">
        <v>4559252.5</v>
      </c>
      <c r="E140" s="7">
        <v>4559252.5</v>
      </c>
      <c r="F140" s="7">
        <f t="shared" si="3"/>
        <v>100</v>
      </c>
      <c r="G140" s="24" t="s">
        <v>391</v>
      </c>
    </row>
    <row r="141" spans="1:7" ht="13.5" customHeight="1">
      <c r="A141" s="4">
        <v>4116</v>
      </c>
      <c r="B141" s="5" t="s">
        <v>354</v>
      </c>
      <c r="C141" s="7">
        <v>0</v>
      </c>
      <c r="D141" s="7">
        <v>1496000</v>
      </c>
      <c r="E141" s="7">
        <v>1496000</v>
      </c>
      <c r="F141" s="7">
        <f t="shared" si="3"/>
        <v>100</v>
      </c>
      <c r="G141" s="24" t="s">
        <v>392</v>
      </c>
    </row>
    <row r="142" spans="1:7" ht="13.5" customHeight="1">
      <c r="A142" s="4">
        <v>4116</v>
      </c>
      <c r="B142" s="5" t="s">
        <v>354</v>
      </c>
      <c r="C142" s="7">
        <v>0</v>
      </c>
      <c r="D142" s="7">
        <v>540000</v>
      </c>
      <c r="E142" s="7">
        <v>540000</v>
      </c>
      <c r="F142" s="7">
        <f t="shared" si="3"/>
        <v>100</v>
      </c>
      <c r="G142" s="24" t="s">
        <v>393</v>
      </c>
    </row>
    <row r="143" spans="1:7" ht="13.5" customHeight="1">
      <c r="A143" s="4">
        <v>4121</v>
      </c>
      <c r="B143" s="5" t="s">
        <v>355</v>
      </c>
      <c r="C143" s="7">
        <v>1850000</v>
      </c>
      <c r="D143" s="7">
        <v>1850000</v>
      </c>
      <c r="E143" s="7">
        <v>2173262</v>
      </c>
      <c r="F143" s="7">
        <f t="shared" si="3"/>
        <v>117.47362162162163</v>
      </c>
      <c r="G143" s="8" t="s">
        <v>356</v>
      </c>
    </row>
    <row r="144" spans="1:7" ht="13.5" customHeight="1">
      <c r="A144" s="4">
        <v>4121</v>
      </c>
      <c r="B144" s="5" t="s">
        <v>355</v>
      </c>
      <c r="C144" s="7">
        <v>0</v>
      </c>
      <c r="D144" s="7">
        <v>0</v>
      </c>
      <c r="E144" s="7">
        <v>91000</v>
      </c>
      <c r="F144" s="7">
        <v>0</v>
      </c>
      <c r="G144" s="8" t="s">
        <v>357</v>
      </c>
    </row>
    <row r="145" spans="1:7" ht="13.5" customHeight="1">
      <c r="A145" s="4">
        <v>4121</v>
      </c>
      <c r="B145" s="5" t="s">
        <v>355</v>
      </c>
      <c r="C145" s="7">
        <v>0</v>
      </c>
      <c r="D145" s="7">
        <v>10000</v>
      </c>
      <c r="E145" s="7">
        <v>10000</v>
      </c>
      <c r="F145" s="7">
        <f aca="true" t="shared" si="4" ref="F145:F163">E145/D145*100</f>
        <v>100</v>
      </c>
      <c r="G145" s="8" t="s">
        <v>358</v>
      </c>
    </row>
    <row r="146" spans="1:7" ht="13.5" customHeight="1">
      <c r="A146" s="4">
        <v>4122</v>
      </c>
      <c r="B146" s="5" t="s">
        <v>359</v>
      </c>
      <c r="C146" s="7">
        <v>0</v>
      </c>
      <c r="D146" s="7">
        <v>2269206</v>
      </c>
      <c r="E146" s="7">
        <v>2269206</v>
      </c>
      <c r="F146" s="7">
        <f t="shared" si="4"/>
        <v>100</v>
      </c>
      <c r="G146" s="18" t="s">
        <v>394</v>
      </c>
    </row>
    <row r="147" spans="1:7" ht="13.5" customHeight="1">
      <c r="A147" s="4">
        <v>4122</v>
      </c>
      <c r="B147" s="5" t="s">
        <v>359</v>
      </c>
      <c r="C147" s="7">
        <v>0</v>
      </c>
      <c r="D147" s="7">
        <v>257400</v>
      </c>
      <c r="E147" s="7">
        <v>257400</v>
      </c>
      <c r="F147" s="7">
        <f t="shared" si="4"/>
        <v>100</v>
      </c>
      <c r="G147" s="18" t="s">
        <v>395</v>
      </c>
    </row>
    <row r="148" spans="1:7" ht="13.5" customHeight="1">
      <c r="A148" s="4">
        <v>4122</v>
      </c>
      <c r="B148" s="5" t="s">
        <v>359</v>
      </c>
      <c r="C148" s="7">
        <v>0</v>
      </c>
      <c r="D148" s="7">
        <v>2419887</v>
      </c>
      <c r="E148" s="7">
        <v>2419887</v>
      </c>
      <c r="F148" s="7">
        <f t="shared" si="4"/>
        <v>100</v>
      </c>
      <c r="G148" s="18" t="s">
        <v>396</v>
      </c>
    </row>
    <row r="149" spans="1:7" ht="13.5" customHeight="1">
      <c r="A149" s="4">
        <v>4122</v>
      </c>
      <c r="B149" s="5" t="s">
        <v>359</v>
      </c>
      <c r="C149" s="7">
        <v>0</v>
      </c>
      <c r="D149" s="7">
        <v>350000</v>
      </c>
      <c r="E149" s="7">
        <v>350000</v>
      </c>
      <c r="F149" s="7">
        <f t="shared" si="4"/>
        <v>100</v>
      </c>
      <c r="G149" s="18" t="s">
        <v>397</v>
      </c>
    </row>
    <row r="150" spans="1:7" ht="13.5" customHeight="1">
      <c r="A150" s="4">
        <v>4122</v>
      </c>
      <c r="B150" s="5" t="s">
        <v>359</v>
      </c>
      <c r="C150" s="7">
        <v>0</v>
      </c>
      <c r="D150" s="7">
        <v>2800000</v>
      </c>
      <c r="E150" s="7">
        <v>2800000</v>
      </c>
      <c r="F150" s="7">
        <f t="shared" si="4"/>
        <v>100</v>
      </c>
      <c r="G150" s="18" t="s">
        <v>398</v>
      </c>
    </row>
    <row r="151" spans="1:7" ht="13.5" customHeight="1">
      <c r="A151" s="4">
        <v>4122</v>
      </c>
      <c r="B151" s="5" t="s">
        <v>359</v>
      </c>
      <c r="C151" s="7">
        <v>0</v>
      </c>
      <c r="D151" s="7">
        <v>1866000</v>
      </c>
      <c r="E151" s="7">
        <v>1866000</v>
      </c>
      <c r="F151" s="7">
        <f t="shared" si="4"/>
        <v>100</v>
      </c>
      <c r="G151" s="18" t="s">
        <v>399</v>
      </c>
    </row>
    <row r="152" spans="1:7" ht="13.5" customHeight="1">
      <c r="A152" s="4">
        <v>4122</v>
      </c>
      <c r="B152" s="5" t="s">
        <v>359</v>
      </c>
      <c r="C152" s="7">
        <v>0</v>
      </c>
      <c r="D152" s="7">
        <v>9400</v>
      </c>
      <c r="E152" s="7">
        <v>9400</v>
      </c>
      <c r="F152" s="7">
        <f t="shared" si="4"/>
        <v>100</v>
      </c>
      <c r="G152" s="18" t="s">
        <v>400</v>
      </c>
    </row>
    <row r="153" spans="1:7" ht="13.5" customHeight="1">
      <c r="A153" s="4">
        <v>4122</v>
      </c>
      <c r="B153" s="5" t="s">
        <v>359</v>
      </c>
      <c r="C153" s="7">
        <v>0</v>
      </c>
      <c r="D153" s="7">
        <v>25640</v>
      </c>
      <c r="E153" s="7">
        <v>25640</v>
      </c>
      <c r="F153" s="7">
        <f t="shared" si="4"/>
        <v>100</v>
      </c>
      <c r="G153" s="18" t="s">
        <v>401</v>
      </c>
    </row>
    <row r="154" spans="1:7" ht="13.5" customHeight="1">
      <c r="A154" s="4">
        <v>4122</v>
      </c>
      <c r="B154" s="5" t="s">
        <v>359</v>
      </c>
      <c r="C154" s="7">
        <v>0</v>
      </c>
      <c r="D154" s="7">
        <v>99180</v>
      </c>
      <c r="E154" s="7">
        <v>99180</v>
      </c>
      <c r="F154" s="7">
        <f t="shared" si="4"/>
        <v>100</v>
      </c>
      <c r="G154" s="18" t="s">
        <v>402</v>
      </c>
    </row>
    <row r="155" spans="1:7" ht="13.5" customHeight="1">
      <c r="A155" s="4">
        <v>4131</v>
      </c>
      <c r="B155" s="5" t="s">
        <v>360</v>
      </c>
      <c r="C155" s="7">
        <v>348413000</v>
      </c>
      <c r="D155" s="7">
        <v>378030844</v>
      </c>
      <c r="E155" s="7">
        <v>413087000</v>
      </c>
      <c r="F155" s="7">
        <f t="shared" si="4"/>
        <v>109.27335865747506</v>
      </c>
      <c r="G155" s="785" t="s">
        <v>428</v>
      </c>
    </row>
    <row r="156" spans="1:7" ht="13.5" customHeight="1" hidden="1" outlineLevel="1">
      <c r="A156" s="4">
        <v>4132</v>
      </c>
      <c r="B156" s="5" t="s">
        <v>361</v>
      </c>
      <c r="C156" s="7"/>
      <c r="D156" s="7"/>
      <c r="E156" s="7"/>
      <c r="F156" s="7" t="e">
        <f t="shared" si="4"/>
        <v>#DIV/0!</v>
      </c>
      <c r="G156" s="784"/>
    </row>
    <row r="157" spans="1:7" ht="13.5" customHeight="1" hidden="1" outlineLevel="1">
      <c r="A157" s="4">
        <v>4132</v>
      </c>
      <c r="B157" s="5" t="s">
        <v>361</v>
      </c>
      <c r="C157" s="7"/>
      <c r="D157" s="7"/>
      <c r="E157" s="7"/>
      <c r="F157" s="7" t="e">
        <f t="shared" si="4"/>
        <v>#DIV/0!</v>
      </c>
      <c r="G157" s="784"/>
    </row>
    <row r="158" spans="1:7" ht="13.5" customHeight="1" hidden="1" outlineLevel="1">
      <c r="A158" s="4">
        <v>4213</v>
      </c>
      <c r="B158" s="5" t="s">
        <v>362</v>
      </c>
      <c r="C158" s="7"/>
      <c r="D158" s="7"/>
      <c r="E158" s="7"/>
      <c r="F158" s="7" t="e">
        <f t="shared" si="4"/>
        <v>#DIV/0!</v>
      </c>
      <c r="G158" s="784"/>
    </row>
    <row r="159" spans="1:7" ht="13.5" customHeight="1" hidden="1" outlineLevel="1">
      <c r="A159" s="4">
        <v>4213</v>
      </c>
      <c r="B159" s="5" t="s">
        <v>362</v>
      </c>
      <c r="C159" s="7"/>
      <c r="D159" s="7"/>
      <c r="E159" s="7"/>
      <c r="F159" s="7" t="e">
        <f t="shared" si="4"/>
        <v>#DIV/0!</v>
      </c>
      <c r="G159" s="784"/>
    </row>
    <row r="160" spans="1:7" ht="13.5" customHeight="1" hidden="1" outlineLevel="1">
      <c r="A160" s="4">
        <v>4216</v>
      </c>
      <c r="B160" s="5" t="s">
        <v>363</v>
      </c>
      <c r="C160" s="7"/>
      <c r="D160" s="7"/>
      <c r="E160" s="7"/>
      <c r="F160" s="7" t="e">
        <f t="shared" si="4"/>
        <v>#DIV/0!</v>
      </c>
      <c r="G160" s="784"/>
    </row>
    <row r="161" spans="1:7" ht="13.5" customHeight="1" hidden="1" outlineLevel="1" thickBot="1">
      <c r="A161" s="4">
        <v>4216</v>
      </c>
      <c r="B161" s="5" t="s">
        <v>363</v>
      </c>
      <c r="C161" s="7"/>
      <c r="D161" s="7"/>
      <c r="E161" s="7"/>
      <c r="F161" s="7" t="e">
        <f t="shared" si="4"/>
        <v>#DIV/0!</v>
      </c>
      <c r="G161" s="784"/>
    </row>
    <row r="162" spans="1:7" ht="13.5" customHeight="1" hidden="1" outlineLevel="1">
      <c r="A162" s="4">
        <v>4218</v>
      </c>
      <c r="B162" s="5" t="s">
        <v>364</v>
      </c>
      <c r="C162" s="7"/>
      <c r="D162" s="7"/>
      <c r="E162" s="7"/>
      <c r="F162" s="7" t="e">
        <f t="shared" si="4"/>
        <v>#DIV/0!</v>
      </c>
      <c r="G162" s="784"/>
    </row>
    <row r="163" spans="1:7" ht="13.5" customHeight="1" hidden="1" outlineLevel="1">
      <c r="A163" s="4">
        <v>4222</v>
      </c>
      <c r="B163" s="5" t="s">
        <v>365</v>
      </c>
      <c r="C163" s="7"/>
      <c r="D163" s="7"/>
      <c r="E163" s="7"/>
      <c r="F163" s="7" t="e">
        <f t="shared" si="4"/>
        <v>#DIV/0!</v>
      </c>
      <c r="G163" s="784"/>
    </row>
    <row r="164" spans="1:7" ht="13.5" customHeight="1" outlineLevel="1">
      <c r="A164" s="4"/>
      <c r="B164" s="5"/>
      <c r="C164" s="7"/>
      <c r="D164" s="7"/>
      <c r="E164" s="7"/>
      <c r="F164" s="7"/>
      <c r="G164" s="784"/>
    </row>
    <row r="165" spans="1:7" ht="13.5" customHeight="1" outlineLevel="1">
      <c r="A165" s="4">
        <v>4132</v>
      </c>
      <c r="B165" s="5" t="s">
        <v>366</v>
      </c>
      <c r="C165" s="7">
        <v>0</v>
      </c>
      <c r="D165" s="7">
        <v>0</v>
      </c>
      <c r="E165" s="7">
        <v>8556154</v>
      </c>
      <c r="F165" s="7">
        <v>0</v>
      </c>
      <c r="G165" s="785" t="s">
        <v>367</v>
      </c>
    </row>
    <row r="166" spans="1:7" ht="13.5" customHeight="1" outlineLevel="1">
      <c r="A166" s="4"/>
      <c r="B166" s="5"/>
      <c r="C166" s="7"/>
      <c r="D166" s="7"/>
      <c r="E166" s="7"/>
      <c r="F166" s="7"/>
      <c r="G166" s="785"/>
    </row>
    <row r="167" spans="1:7" ht="13.5" customHeight="1" outlineLevel="1">
      <c r="A167" s="4">
        <v>4132</v>
      </c>
      <c r="B167" s="5" t="s">
        <v>366</v>
      </c>
      <c r="C167" s="7">
        <v>0</v>
      </c>
      <c r="D167" s="7">
        <v>33435598.37</v>
      </c>
      <c r="E167" s="7">
        <v>33435598.37</v>
      </c>
      <c r="F167" s="7">
        <f>E167/D167*100</f>
        <v>100</v>
      </c>
      <c r="G167" s="785" t="s">
        <v>429</v>
      </c>
    </row>
    <row r="168" spans="1:7" ht="13.5" customHeight="1" outlineLevel="1">
      <c r="A168" s="4"/>
      <c r="B168" s="5"/>
      <c r="C168" s="7"/>
      <c r="D168" s="7"/>
      <c r="E168" s="7"/>
      <c r="F168" s="7"/>
      <c r="G168" s="784"/>
    </row>
    <row r="169" spans="1:7" ht="13.5" customHeight="1" outlineLevel="1">
      <c r="A169" s="4"/>
      <c r="B169" s="5"/>
      <c r="C169" s="7"/>
      <c r="D169" s="7"/>
      <c r="E169" s="7"/>
      <c r="F169" s="7"/>
      <c r="G169" s="784"/>
    </row>
    <row r="170" spans="1:7" ht="13.5" customHeight="1" outlineLevel="1">
      <c r="A170" s="4"/>
      <c r="B170" s="5"/>
      <c r="C170" s="7"/>
      <c r="D170" s="7"/>
      <c r="E170" s="7"/>
      <c r="F170" s="7"/>
      <c r="G170" s="784"/>
    </row>
    <row r="171" spans="1:7" ht="13.5" customHeight="1" outlineLevel="1">
      <c r="A171" s="4">
        <v>4211</v>
      </c>
      <c r="B171" s="5" t="s">
        <v>368</v>
      </c>
      <c r="C171" s="7">
        <v>0</v>
      </c>
      <c r="D171" s="7">
        <v>45207</v>
      </c>
      <c r="E171" s="7">
        <v>45207</v>
      </c>
      <c r="F171" s="7">
        <f>E171/D171*100</f>
        <v>100</v>
      </c>
      <c r="G171" s="18" t="s">
        <v>403</v>
      </c>
    </row>
    <row r="172" spans="1:7" ht="13.5" customHeight="1" outlineLevel="1">
      <c r="A172" s="4">
        <v>4213</v>
      </c>
      <c r="B172" s="5" t="s">
        <v>369</v>
      </c>
      <c r="C172" s="7">
        <v>0</v>
      </c>
      <c r="D172" s="7">
        <v>6635327</v>
      </c>
      <c r="E172" s="7">
        <v>6635327</v>
      </c>
      <c r="F172" s="7">
        <f>E172/D172*100</f>
        <v>100</v>
      </c>
      <c r="G172" s="24" t="s">
        <v>404</v>
      </c>
    </row>
    <row r="173" spans="1:7" ht="13.5" customHeight="1" outlineLevel="1">
      <c r="A173" s="4">
        <v>4213</v>
      </c>
      <c r="B173" s="5" t="s">
        <v>369</v>
      </c>
      <c r="C173" s="7">
        <v>0</v>
      </c>
      <c r="D173" s="7">
        <v>26532723</v>
      </c>
      <c r="E173" s="7">
        <v>26532723</v>
      </c>
      <c r="F173" s="7">
        <f>E173/D173*100</f>
        <v>100</v>
      </c>
      <c r="G173" s="24" t="s">
        <v>405</v>
      </c>
    </row>
    <row r="174" spans="1:7" ht="13.5" customHeight="1" outlineLevel="1">
      <c r="A174" s="4">
        <v>4216</v>
      </c>
      <c r="B174" s="5" t="s">
        <v>370</v>
      </c>
      <c r="C174" s="7">
        <v>0</v>
      </c>
      <c r="D174" s="7">
        <v>8859684.88</v>
      </c>
      <c r="E174" s="7">
        <v>8859684.88</v>
      </c>
      <c r="F174" s="7">
        <f>E174/D174*100</f>
        <v>100</v>
      </c>
      <c r="G174" s="783" t="s">
        <v>406</v>
      </c>
    </row>
    <row r="175" spans="1:7" ht="13.5" customHeight="1" outlineLevel="1">
      <c r="A175" s="4"/>
      <c r="B175" s="5"/>
      <c r="C175" s="7"/>
      <c r="D175" s="7"/>
      <c r="E175" s="7"/>
      <c r="F175" s="7"/>
      <c r="G175" s="783"/>
    </row>
    <row r="176" spans="1:7" ht="13.5" customHeight="1" outlineLevel="1">
      <c r="A176" s="4">
        <v>4216</v>
      </c>
      <c r="B176" s="5" t="s">
        <v>370</v>
      </c>
      <c r="C176" s="7">
        <v>0</v>
      </c>
      <c r="D176" s="7">
        <v>8200112.81</v>
      </c>
      <c r="E176" s="7">
        <v>8200112.81</v>
      </c>
      <c r="F176" s="7">
        <f>E176/D176*100</f>
        <v>100</v>
      </c>
      <c r="G176" s="783" t="s">
        <v>407</v>
      </c>
    </row>
    <row r="177" spans="1:7" ht="13.5" customHeight="1" outlineLevel="1">
      <c r="A177" s="4"/>
      <c r="B177" s="5" t="s">
        <v>371</v>
      </c>
      <c r="C177" s="7"/>
      <c r="D177" s="7"/>
      <c r="E177" s="7"/>
      <c r="F177" s="7"/>
      <c r="G177" s="783"/>
    </row>
    <row r="178" spans="1:7" ht="13.5" customHeight="1" outlineLevel="1">
      <c r="A178" s="4">
        <v>4216</v>
      </c>
      <c r="B178" s="5" t="s">
        <v>370</v>
      </c>
      <c r="C178" s="7">
        <v>0</v>
      </c>
      <c r="D178" s="7">
        <v>6090294.92</v>
      </c>
      <c r="E178" s="7">
        <v>6090294.92</v>
      </c>
      <c r="F178" s="7">
        <f>E178/D178*100</f>
        <v>100</v>
      </c>
      <c r="G178" s="783" t="s">
        <v>408</v>
      </c>
    </row>
    <row r="179" spans="1:7" ht="13.5" customHeight="1" outlineLevel="1">
      <c r="A179" s="4"/>
      <c r="B179" s="5"/>
      <c r="C179" s="7"/>
      <c r="D179" s="7"/>
      <c r="E179" s="7"/>
      <c r="F179" s="7"/>
      <c r="G179" s="783"/>
    </row>
    <row r="180" spans="1:7" ht="13.5" customHeight="1" outlineLevel="1">
      <c r="A180" s="4">
        <v>4216</v>
      </c>
      <c r="B180" s="5" t="s">
        <v>370</v>
      </c>
      <c r="C180" s="7">
        <v>0</v>
      </c>
      <c r="D180" s="7">
        <v>1500000</v>
      </c>
      <c r="E180" s="7">
        <v>1056302</v>
      </c>
      <c r="F180" s="7">
        <f>E180/D180*100</f>
        <v>70.42013333333334</v>
      </c>
      <c r="G180" s="24" t="s">
        <v>409</v>
      </c>
    </row>
    <row r="181" spans="1:7" ht="13.5" customHeight="1" outlineLevel="1">
      <c r="A181" s="4">
        <v>4216</v>
      </c>
      <c r="B181" s="5" t="s">
        <v>370</v>
      </c>
      <c r="C181" s="7">
        <v>0</v>
      </c>
      <c r="D181" s="7">
        <v>7246314</v>
      </c>
      <c r="E181" s="7">
        <v>7246314</v>
      </c>
      <c r="F181" s="7">
        <f>E181/D181*100</f>
        <v>100</v>
      </c>
      <c r="G181" s="24" t="s">
        <v>410</v>
      </c>
    </row>
    <row r="182" spans="1:7" ht="13.5" customHeight="1" outlineLevel="1">
      <c r="A182" s="4">
        <v>4216</v>
      </c>
      <c r="B182" s="5" t="s">
        <v>370</v>
      </c>
      <c r="C182" s="7">
        <v>0</v>
      </c>
      <c r="D182" s="7">
        <v>714000</v>
      </c>
      <c r="E182" s="7">
        <v>0</v>
      </c>
      <c r="F182" s="7">
        <v>0</v>
      </c>
      <c r="G182" s="783" t="s">
        <v>411</v>
      </c>
    </row>
    <row r="183" spans="1:7" ht="13.5" customHeight="1" outlineLevel="1">
      <c r="A183" s="4"/>
      <c r="B183" s="5"/>
      <c r="C183" s="7"/>
      <c r="D183" s="7"/>
      <c r="E183" s="7"/>
      <c r="F183" s="7"/>
      <c r="G183" s="783"/>
    </row>
    <row r="184" spans="1:7" ht="13.5" customHeight="1" outlineLevel="1">
      <c r="A184" s="4">
        <v>4216</v>
      </c>
      <c r="B184" s="5" t="s">
        <v>370</v>
      </c>
      <c r="C184" s="7">
        <v>0</v>
      </c>
      <c r="D184" s="7">
        <v>4000000</v>
      </c>
      <c r="E184" s="7">
        <v>3999987</v>
      </c>
      <c r="F184" s="7">
        <f>E184/D184*100</f>
        <v>99.999675</v>
      </c>
      <c r="G184" s="24" t="s">
        <v>412</v>
      </c>
    </row>
    <row r="185" spans="1:7" ht="13.5" customHeight="1" outlineLevel="1">
      <c r="A185" s="4">
        <v>4216</v>
      </c>
      <c r="B185" s="5" t="s">
        <v>370</v>
      </c>
      <c r="C185" s="7">
        <v>0</v>
      </c>
      <c r="D185" s="7">
        <v>52325803.3</v>
      </c>
      <c r="E185" s="7">
        <v>52325803.3</v>
      </c>
      <c r="F185" s="7">
        <f>E185/D185*100</f>
        <v>100</v>
      </c>
      <c r="G185" s="24" t="s">
        <v>413</v>
      </c>
    </row>
    <row r="186" spans="1:7" ht="13.5" customHeight="1" outlineLevel="1">
      <c r="A186" s="4">
        <v>4216</v>
      </c>
      <c r="B186" s="5" t="s">
        <v>370</v>
      </c>
      <c r="C186" s="7">
        <v>0</v>
      </c>
      <c r="D186" s="7">
        <v>562000</v>
      </c>
      <c r="E186" s="7">
        <v>0</v>
      </c>
      <c r="F186" s="7">
        <v>0</v>
      </c>
      <c r="G186" s="783" t="s">
        <v>430</v>
      </c>
    </row>
    <row r="187" spans="1:7" ht="13.5" customHeight="1" outlineLevel="1">
      <c r="A187" s="4"/>
      <c r="B187" s="5"/>
      <c r="C187" s="7"/>
      <c r="D187" s="7"/>
      <c r="E187" s="7"/>
      <c r="F187" s="7"/>
      <c r="G187" s="783"/>
    </row>
    <row r="188" spans="1:7" ht="13.5" customHeight="1" outlineLevel="1">
      <c r="A188" s="4"/>
      <c r="B188" s="5"/>
      <c r="C188" s="7"/>
      <c r="D188" s="7"/>
      <c r="E188" s="7"/>
      <c r="F188" s="7"/>
      <c r="G188" s="784"/>
    </row>
    <row r="189" spans="1:7" ht="13.5" customHeight="1" outlineLevel="1">
      <c r="A189" s="4">
        <v>4216</v>
      </c>
      <c r="B189" s="5" t="s">
        <v>370</v>
      </c>
      <c r="C189" s="7">
        <v>0</v>
      </c>
      <c r="D189" s="7">
        <v>19841579.4</v>
      </c>
      <c r="E189" s="7">
        <v>19841579.4</v>
      </c>
      <c r="F189" s="7">
        <f>E189/D189*100</f>
        <v>100</v>
      </c>
      <c r="G189" s="24" t="s">
        <v>414</v>
      </c>
    </row>
    <row r="190" spans="1:7" ht="13.5" customHeight="1" outlineLevel="1">
      <c r="A190" s="4">
        <v>4216</v>
      </c>
      <c r="B190" s="5" t="s">
        <v>370</v>
      </c>
      <c r="C190" s="7">
        <v>0</v>
      </c>
      <c r="D190" s="7">
        <v>20000000</v>
      </c>
      <c r="E190" s="7">
        <v>20000000</v>
      </c>
      <c r="F190" s="7">
        <f>E190/D190*100</f>
        <v>100</v>
      </c>
      <c r="G190" s="24" t="s">
        <v>415</v>
      </c>
    </row>
    <row r="191" spans="1:7" ht="13.5" customHeight="1" outlineLevel="1">
      <c r="A191" s="4">
        <v>4216</v>
      </c>
      <c r="B191" s="5" t="s">
        <v>370</v>
      </c>
      <c r="C191" s="7">
        <v>0</v>
      </c>
      <c r="D191" s="7">
        <v>9874003.01</v>
      </c>
      <c r="E191" s="7">
        <v>9874003.01</v>
      </c>
      <c r="F191" s="7">
        <f>E191/D191*100</f>
        <v>100</v>
      </c>
      <c r="G191" s="24" t="s">
        <v>416</v>
      </c>
    </row>
    <row r="192" spans="1:7" ht="13.5" customHeight="1" outlineLevel="1">
      <c r="A192" s="4">
        <v>4218</v>
      </c>
      <c r="B192" s="5" t="s">
        <v>364</v>
      </c>
      <c r="C192" s="7">
        <v>0</v>
      </c>
      <c r="D192" s="7">
        <v>42967654.16</v>
      </c>
      <c r="E192" s="7">
        <v>42967654.16</v>
      </c>
      <c r="F192" s="7">
        <f>E192/D192*100</f>
        <v>100</v>
      </c>
      <c r="G192" s="24" t="s">
        <v>417</v>
      </c>
    </row>
    <row r="193" spans="1:7" ht="13.5" customHeight="1" outlineLevel="1">
      <c r="A193" s="4">
        <v>4218</v>
      </c>
      <c r="B193" s="5" t="s">
        <v>364</v>
      </c>
      <c r="C193" s="7">
        <v>0</v>
      </c>
      <c r="D193" s="7">
        <v>6097718.05</v>
      </c>
      <c r="E193" s="7">
        <v>6097718.05</v>
      </c>
      <c r="F193" s="7">
        <f>E193/D193*100</f>
        <v>100</v>
      </c>
      <c r="G193" s="783" t="s">
        <v>418</v>
      </c>
    </row>
    <row r="194" spans="1:7" ht="13.5" customHeight="1" outlineLevel="1">
      <c r="A194" s="4"/>
      <c r="B194" s="5"/>
      <c r="C194" s="7"/>
      <c r="D194" s="7"/>
      <c r="E194" s="7"/>
      <c r="F194" s="7"/>
      <c r="G194" s="783"/>
    </row>
    <row r="195" spans="1:7" ht="13.5" customHeight="1" outlineLevel="1">
      <c r="A195" s="4">
        <v>4218</v>
      </c>
      <c r="B195" s="5" t="s">
        <v>364</v>
      </c>
      <c r="C195" s="7">
        <v>0</v>
      </c>
      <c r="D195" s="7">
        <v>4651755.49</v>
      </c>
      <c r="E195" s="7">
        <v>4651755.49</v>
      </c>
      <c r="F195" s="7">
        <f>E195/D195*100</f>
        <v>100</v>
      </c>
      <c r="G195" s="783" t="s">
        <v>419</v>
      </c>
    </row>
    <row r="196" spans="1:7" ht="13.5" customHeight="1" outlineLevel="1">
      <c r="A196" s="4"/>
      <c r="B196" s="5"/>
      <c r="C196" s="7"/>
      <c r="D196" s="7"/>
      <c r="E196" s="7"/>
      <c r="F196" s="7"/>
      <c r="G196" s="783"/>
    </row>
    <row r="197" spans="1:7" ht="13.5" customHeight="1" outlineLevel="1">
      <c r="A197" s="4">
        <v>4218</v>
      </c>
      <c r="B197" s="5" t="s">
        <v>364</v>
      </c>
      <c r="C197" s="7">
        <v>0</v>
      </c>
      <c r="D197" s="7">
        <v>6759266.04</v>
      </c>
      <c r="E197" s="7">
        <v>6759266.04</v>
      </c>
      <c r="F197" s="7">
        <f>E197/D197*100</f>
        <v>100</v>
      </c>
      <c r="G197" s="783" t="s">
        <v>420</v>
      </c>
    </row>
    <row r="198" spans="1:7" ht="13.5" customHeight="1" outlineLevel="1">
      <c r="A198" s="4"/>
      <c r="B198" s="5"/>
      <c r="C198" s="7"/>
      <c r="D198" s="7"/>
      <c r="E198" s="7"/>
      <c r="F198" s="7"/>
      <c r="G198" s="783"/>
    </row>
    <row r="199" spans="1:7" ht="13.5" customHeight="1" outlineLevel="1">
      <c r="A199" s="4">
        <v>4218</v>
      </c>
      <c r="B199" s="5" t="s">
        <v>364</v>
      </c>
      <c r="C199" s="7">
        <v>0</v>
      </c>
      <c r="D199" s="7">
        <v>45211045.93</v>
      </c>
      <c r="E199" s="7">
        <v>45211045.93</v>
      </c>
      <c r="F199" s="7">
        <f>E199/D199*100</f>
        <v>100</v>
      </c>
      <c r="G199" s="783" t="s">
        <v>421</v>
      </c>
    </row>
    <row r="200" spans="1:7" ht="13.5" customHeight="1" outlineLevel="1">
      <c r="A200" s="4"/>
      <c r="B200" s="5"/>
      <c r="C200" s="7"/>
      <c r="D200" s="7"/>
      <c r="E200" s="7"/>
      <c r="F200" s="7"/>
      <c r="G200" s="784"/>
    </row>
    <row r="201" spans="1:7" ht="13.5" customHeight="1" outlineLevel="1">
      <c r="A201" s="4">
        <v>4221</v>
      </c>
      <c r="B201" s="5" t="s">
        <v>372</v>
      </c>
      <c r="C201" s="7">
        <v>0</v>
      </c>
      <c r="D201" s="7">
        <v>313700.8</v>
      </c>
      <c r="E201" s="7">
        <v>551702.61</v>
      </c>
      <c r="F201" s="7">
        <f aca="true" t="shared" si="5" ref="F201:F209">E201/D201*100</f>
        <v>175.86904783156433</v>
      </c>
      <c r="G201" s="785" t="s">
        <v>431</v>
      </c>
    </row>
    <row r="202" spans="1:7" ht="13.5" customHeight="1" outlineLevel="1">
      <c r="A202" s="4"/>
      <c r="B202" s="5"/>
      <c r="C202" s="7"/>
      <c r="D202" s="7"/>
      <c r="E202" s="7"/>
      <c r="F202" s="7"/>
      <c r="G202" s="785"/>
    </row>
    <row r="203" spans="1:7" ht="13.5" customHeight="1" outlineLevel="1">
      <c r="A203" s="4"/>
      <c r="B203" s="5"/>
      <c r="C203" s="7"/>
      <c r="D203" s="7"/>
      <c r="E203" s="7"/>
      <c r="F203" s="7"/>
      <c r="G203" s="785"/>
    </row>
    <row r="204" spans="1:7" ht="13.5" customHeight="1" outlineLevel="1">
      <c r="A204" s="4"/>
      <c r="B204" s="5"/>
      <c r="C204" s="7"/>
      <c r="D204" s="7"/>
      <c r="E204" s="7"/>
      <c r="F204" s="7"/>
      <c r="G204" s="784"/>
    </row>
    <row r="205" spans="1:7" ht="13.5" customHeight="1" outlineLevel="1">
      <c r="A205" s="4">
        <v>4222</v>
      </c>
      <c r="B205" s="5" t="s">
        <v>365</v>
      </c>
      <c r="C205" s="7">
        <v>0</v>
      </c>
      <c r="D205" s="7">
        <v>380000</v>
      </c>
      <c r="E205" s="7">
        <v>380000</v>
      </c>
      <c r="F205" s="7">
        <f t="shared" si="5"/>
        <v>100</v>
      </c>
      <c r="G205" s="24" t="s">
        <v>422</v>
      </c>
    </row>
    <row r="206" spans="1:7" ht="13.5" customHeight="1" outlineLevel="1">
      <c r="A206" s="4">
        <v>4222</v>
      </c>
      <c r="B206" s="5" t="s">
        <v>365</v>
      </c>
      <c r="C206" s="7">
        <v>0</v>
      </c>
      <c r="D206" s="7">
        <v>400000</v>
      </c>
      <c r="E206" s="7">
        <v>400000</v>
      </c>
      <c r="F206" s="7">
        <f t="shared" si="5"/>
        <v>100</v>
      </c>
      <c r="G206" s="24" t="s">
        <v>423</v>
      </c>
    </row>
    <row r="207" spans="1:7" ht="13.5" customHeight="1" outlineLevel="1" thickBot="1">
      <c r="A207" s="4">
        <v>4222</v>
      </c>
      <c r="B207" s="5" t="s">
        <v>365</v>
      </c>
      <c r="C207" s="7">
        <v>0</v>
      </c>
      <c r="D207" s="7">
        <v>300000</v>
      </c>
      <c r="E207" s="7">
        <v>300000</v>
      </c>
      <c r="F207" s="7">
        <f t="shared" si="5"/>
        <v>100</v>
      </c>
      <c r="G207" s="24" t="s">
        <v>424</v>
      </c>
    </row>
    <row r="208" spans="1:7" ht="13.5" customHeight="1" thickBot="1">
      <c r="A208" s="25"/>
      <c r="B208" s="19" t="s">
        <v>373</v>
      </c>
      <c r="C208" s="20">
        <f>SUM(C120:C205)</f>
        <v>644144311</v>
      </c>
      <c r="D208" s="20">
        <f>SUM(D120:D207)</f>
        <v>1025511994.6599996</v>
      </c>
      <c r="E208" s="20">
        <f>SUM(E120:E207)</f>
        <v>1068056857.9699997</v>
      </c>
      <c r="F208" s="20">
        <f>E208/D208*100</f>
        <v>104.14864609400357</v>
      </c>
      <c r="G208" s="8"/>
    </row>
    <row r="209" spans="1:7" ht="26.25" customHeight="1" thickBot="1">
      <c r="A209" s="25"/>
      <c r="B209" s="26" t="s">
        <v>374</v>
      </c>
      <c r="C209" s="27">
        <f>C36+C112+C119+C208</f>
        <v>2389577311</v>
      </c>
      <c r="D209" s="27">
        <f>D36+D112+D119+D208</f>
        <v>2689512879.54</v>
      </c>
      <c r="E209" s="27">
        <f>E36+E112+E119+E208</f>
        <v>2636191563.9599996</v>
      </c>
      <c r="F209" s="28">
        <f t="shared" si="5"/>
        <v>98.01743594590556</v>
      </c>
      <c r="G209" s="8"/>
    </row>
    <row r="210" spans="1:7" ht="13.5" customHeight="1">
      <c r="A210" s="29"/>
      <c r="B210" s="30"/>
      <c r="C210" s="31"/>
      <c r="D210" s="31"/>
      <c r="E210" s="32"/>
      <c r="F210" s="33"/>
      <c r="G210" s="5"/>
    </row>
    <row r="211" spans="1:7" ht="12.75">
      <c r="A211" s="34"/>
      <c r="B211" s="778"/>
      <c r="C211" s="779"/>
      <c r="D211" s="779"/>
      <c r="E211" s="779"/>
      <c r="F211" s="779"/>
      <c r="G211" s="780"/>
    </row>
    <row r="212" spans="1:7" ht="12.75">
      <c r="A212" s="34"/>
      <c r="B212" s="35"/>
      <c r="C212" s="35"/>
      <c r="D212" s="35"/>
      <c r="E212" s="35"/>
      <c r="F212" s="35"/>
      <c r="G212" s="35"/>
    </row>
    <row r="213" spans="1:7" ht="12.75">
      <c r="A213" s="34"/>
      <c r="B213" s="35"/>
      <c r="C213" s="35"/>
      <c r="D213" s="35"/>
      <c r="E213" s="35"/>
      <c r="F213" s="35"/>
      <c r="G213" s="35"/>
    </row>
    <row r="214" spans="1:7" ht="12.75">
      <c r="A214" s="34"/>
      <c r="B214" s="35"/>
      <c r="C214" s="35"/>
      <c r="D214" s="35"/>
      <c r="E214" s="35"/>
      <c r="F214" s="35"/>
      <c r="G214" s="35"/>
    </row>
    <row r="215" spans="1:7" ht="12.75">
      <c r="A215" s="34"/>
      <c r="B215" s="35"/>
      <c r="C215" s="35"/>
      <c r="D215" s="35"/>
      <c r="E215" s="35"/>
      <c r="F215" s="35"/>
      <c r="G215" s="35"/>
    </row>
    <row r="216" spans="1:7" ht="12.75">
      <c r="A216" s="34"/>
      <c r="B216" s="38"/>
      <c r="C216" s="35"/>
      <c r="D216" s="35"/>
      <c r="E216" s="35"/>
      <c r="F216" s="35"/>
      <c r="G216" s="35"/>
    </row>
    <row r="217" spans="1:6" ht="12.75">
      <c r="A217" s="34"/>
      <c r="B217" s="35"/>
      <c r="C217" s="35"/>
      <c r="D217" s="35"/>
      <c r="E217" s="35"/>
      <c r="F217" s="35"/>
    </row>
    <row r="218" spans="1:6" ht="12.75">
      <c r="A218" s="34"/>
      <c r="B218" s="38"/>
      <c r="C218" s="39"/>
      <c r="D218" s="39"/>
      <c r="E218" s="39"/>
      <c r="F218" s="39"/>
    </row>
    <row r="219" spans="1:7" ht="12.75" customHeight="1">
      <c r="A219" s="34"/>
      <c r="B219" s="35"/>
      <c r="C219" s="40"/>
      <c r="D219" s="40"/>
      <c r="E219" s="40"/>
      <c r="F219" s="40"/>
      <c r="G219" s="781"/>
    </row>
    <row r="220" spans="1:7" ht="12.75">
      <c r="A220" s="34"/>
      <c r="B220" s="35"/>
      <c r="C220" s="40"/>
      <c r="D220" s="40"/>
      <c r="E220" s="40"/>
      <c r="F220" s="40"/>
      <c r="G220" s="781"/>
    </row>
    <row r="221" spans="1:7" ht="12.75">
      <c r="A221" s="34"/>
      <c r="B221" s="35"/>
      <c r="C221" s="40"/>
      <c r="D221" s="40"/>
      <c r="E221" s="40"/>
      <c r="F221" s="40"/>
      <c r="G221" s="782"/>
    </row>
    <row r="222" spans="1:7" ht="12.75">
      <c r="A222" s="34"/>
      <c r="B222" s="35"/>
      <c r="C222" s="40"/>
      <c r="D222" s="40"/>
      <c r="E222" s="40"/>
      <c r="F222" s="40"/>
      <c r="G222" s="782"/>
    </row>
    <row r="223" spans="1:7" ht="12.75">
      <c r="A223" s="34"/>
      <c r="B223" s="35"/>
      <c r="C223" s="35"/>
      <c r="D223" s="35"/>
      <c r="E223" s="35"/>
      <c r="F223" s="35"/>
      <c r="G223" s="35"/>
    </row>
    <row r="224" spans="1:7" ht="12.75">
      <c r="A224" s="34"/>
      <c r="B224" s="35"/>
      <c r="C224" s="35"/>
      <c r="D224" s="35"/>
      <c r="E224" s="35"/>
      <c r="F224" s="35"/>
      <c r="G224" s="35"/>
    </row>
    <row r="225" spans="1:7" ht="12.75">
      <c r="A225" s="34"/>
      <c r="B225" s="35"/>
      <c r="C225" s="35"/>
      <c r="D225" s="35"/>
      <c r="E225" s="35"/>
      <c r="F225" s="35"/>
      <c r="G225" s="35"/>
    </row>
    <row r="226" spans="1:6" ht="12.75">
      <c r="A226" s="34"/>
      <c r="B226" s="35"/>
      <c r="C226" s="35"/>
      <c r="D226" s="35"/>
      <c r="E226" s="35"/>
      <c r="F226" s="35"/>
    </row>
    <row r="227" spans="1:6" ht="12.75">
      <c r="A227" s="34"/>
      <c r="B227" s="35"/>
      <c r="C227" s="35"/>
      <c r="D227" s="35"/>
      <c r="E227" s="35"/>
      <c r="F227" s="35"/>
    </row>
    <row r="228" spans="1:6" ht="12.75">
      <c r="A228" s="34"/>
      <c r="B228" s="38"/>
      <c r="C228" s="35"/>
      <c r="D228" s="35"/>
      <c r="E228" s="35"/>
      <c r="F228" s="35"/>
    </row>
    <row r="229" spans="1:6" ht="12.75">
      <c r="A229" s="34"/>
      <c r="B229" s="35"/>
      <c r="C229" s="35"/>
      <c r="D229" s="35"/>
      <c r="E229" s="35"/>
      <c r="F229" s="35"/>
    </row>
    <row r="230" ht="12.75">
      <c r="A230" s="34"/>
    </row>
    <row r="231" ht="12.75">
      <c r="A231" s="34"/>
    </row>
    <row r="232" ht="12.75">
      <c r="A232" s="34"/>
    </row>
    <row r="233" ht="12.75">
      <c r="A233" s="34"/>
    </row>
    <row r="234" ht="12.75">
      <c r="A234" s="34"/>
    </row>
    <row r="235" ht="12.75">
      <c r="A235" s="34"/>
    </row>
    <row r="236" ht="12.75">
      <c r="A236" s="34"/>
    </row>
    <row r="237" ht="12.75">
      <c r="A237" s="34"/>
    </row>
    <row r="238" ht="12.75">
      <c r="A238" s="34"/>
    </row>
    <row r="239" ht="12.75">
      <c r="A239" s="34"/>
    </row>
    <row r="240" ht="12.75">
      <c r="A240" s="34"/>
    </row>
    <row r="241" ht="12.75">
      <c r="A241" s="34"/>
    </row>
    <row r="242" ht="12.75">
      <c r="A242" s="34"/>
    </row>
    <row r="243" ht="12.75">
      <c r="A243" s="34"/>
    </row>
    <row r="244" ht="12.75">
      <c r="A244" s="34"/>
    </row>
    <row r="245" ht="12.75">
      <c r="A245" s="34"/>
    </row>
    <row r="246" ht="12.75">
      <c r="A246" s="34"/>
    </row>
    <row r="247" ht="12.75">
      <c r="A247" s="34"/>
    </row>
    <row r="248" ht="12.75">
      <c r="A248" s="34"/>
    </row>
    <row r="249" ht="12.75">
      <c r="A249" s="34"/>
    </row>
    <row r="250" ht="12.75">
      <c r="A250" s="34"/>
    </row>
    <row r="251" ht="12.75">
      <c r="A251" s="34"/>
    </row>
    <row r="252" ht="12.75">
      <c r="A252" s="34"/>
    </row>
    <row r="253" ht="12.75">
      <c r="A253" s="34"/>
    </row>
    <row r="254" ht="12.75">
      <c r="A254" s="34"/>
    </row>
    <row r="255" ht="12.75">
      <c r="A255" s="34"/>
    </row>
    <row r="256" ht="12.75">
      <c r="A256" s="34"/>
    </row>
    <row r="257" ht="12.75">
      <c r="A257" s="34"/>
    </row>
    <row r="258" ht="12.75">
      <c r="A258" s="34"/>
    </row>
    <row r="259" ht="12.75">
      <c r="A259" s="34"/>
    </row>
    <row r="260" ht="12.75">
      <c r="A260" s="34"/>
    </row>
    <row r="261" ht="12.75">
      <c r="A261" s="34"/>
    </row>
    <row r="262" ht="12.75">
      <c r="A262" s="34"/>
    </row>
    <row r="263" ht="12.75">
      <c r="A263" s="34"/>
    </row>
    <row r="264" ht="12.75">
      <c r="A264" s="34"/>
    </row>
    <row r="265" ht="12.75">
      <c r="A265" s="34"/>
    </row>
    <row r="266" ht="12.75">
      <c r="A266" s="34"/>
    </row>
    <row r="267" ht="12.75">
      <c r="A267" s="34"/>
    </row>
    <row r="268" ht="12.75">
      <c r="A268" s="34"/>
    </row>
    <row r="269" ht="12.75">
      <c r="A269" s="34"/>
    </row>
    <row r="270" ht="12.75">
      <c r="A270" s="34"/>
    </row>
    <row r="271" ht="12.75">
      <c r="A271" s="34"/>
    </row>
    <row r="272" ht="12.75">
      <c r="A272" s="34"/>
    </row>
    <row r="273" ht="12.75">
      <c r="A273" s="34"/>
    </row>
    <row r="274" ht="12.75">
      <c r="A274" s="34"/>
    </row>
    <row r="275" ht="12.75">
      <c r="A275" s="34"/>
    </row>
    <row r="276" ht="12.75">
      <c r="A276" s="34"/>
    </row>
    <row r="277" ht="12.75">
      <c r="A277" s="34"/>
    </row>
    <row r="278" ht="12.75">
      <c r="A278" s="34"/>
    </row>
    <row r="279" ht="12.75">
      <c r="A279" s="34"/>
    </row>
    <row r="280" ht="12.75">
      <c r="A280" s="34"/>
    </row>
    <row r="281" ht="12.75">
      <c r="A281" s="34"/>
    </row>
    <row r="282" ht="12.75">
      <c r="A282" s="34"/>
    </row>
    <row r="283" ht="12.75">
      <c r="A283" s="34"/>
    </row>
    <row r="284" ht="12.75">
      <c r="A284" s="34"/>
    </row>
    <row r="285" ht="12.75">
      <c r="A285" s="34"/>
    </row>
    <row r="286" ht="12.75">
      <c r="A286" s="34"/>
    </row>
    <row r="287" ht="12.75">
      <c r="A287" s="34"/>
    </row>
    <row r="288" ht="12.75">
      <c r="A288" s="34"/>
    </row>
    <row r="289" ht="12.75">
      <c r="A289" s="34"/>
    </row>
    <row r="290" ht="12.75">
      <c r="A290" s="34"/>
    </row>
    <row r="291" ht="12.75">
      <c r="A291" s="34"/>
    </row>
    <row r="292" ht="12.75">
      <c r="A292" s="34"/>
    </row>
    <row r="293" ht="12.75">
      <c r="A293" s="34"/>
    </row>
    <row r="294" ht="12.75">
      <c r="A294" s="34"/>
    </row>
    <row r="295" ht="12.75">
      <c r="A295" s="34"/>
    </row>
    <row r="296" ht="12.75">
      <c r="A296" s="34"/>
    </row>
    <row r="297" ht="12.75">
      <c r="A297" s="34"/>
    </row>
    <row r="298" ht="12.75">
      <c r="A298" s="34"/>
    </row>
    <row r="299" ht="12.75">
      <c r="A299" s="34"/>
    </row>
    <row r="300" ht="12.75">
      <c r="A300" s="34"/>
    </row>
    <row r="301" ht="12.75">
      <c r="A301" s="34"/>
    </row>
    <row r="302" ht="12.75">
      <c r="A302" s="34"/>
    </row>
    <row r="303" ht="12.75">
      <c r="A303" s="34"/>
    </row>
    <row r="304" ht="12.75">
      <c r="A304" s="34"/>
    </row>
    <row r="305" ht="12.75">
      <c r="A305" s="34"/>
    </row>
    <row r="306" ht="12.75">
      <c r="A306" s="34"/>
    </row>
    <row r="307" ht="12.75">
      <c r="A307" s="34"/>
    </row>
    <row r="308" ht="12.75">
      <c r="A308" s="34"/>
    </row>
    <row r="309" ht="12.75">
      <c r="A309" s="34"/>
    </row>
    <row r="310" ht="12.75">
      <c r="A310" s="34"/>
    </row>
    <row r="311" ht="12.75">
      <c r="A311" s="34"/>
    </row>
    <row r="312" ht="12.75">
      <c r="A312" s="34"/>
    </row>
    <row r="313" ht="12.75">
      <c r="A313" s="34"/>
    </row>
    <row r="314" ht="12.75">
      <c r="A314" s="34"/>
    </row>
    <row r="315" ht="12.75">
      <c r="A315" s="34"/>
    </row>
    <row r="316" ht="12.75">
      <c r="A316" s="34"/>
    </row>
    <row r="317" ht="12.75">
      <c r="A317" s="34"/>
    </row>
    <row r="318" ht="12.75">
      <c r="A318" s="34"/>
    </row>
    <row r="319" ht="12.75">
      <c r="A319" s="34"/>
    </row>
    <row r="320" ht="12.75">
      <c r="A320" s="34"/>
    </row>
    <row r="321" ht="12.75">
      <c r="A321" s="34"/>
    </row>
    <row r="322" ht="12.75">
      <c r="A322" s="34"/>
    </row>
    <row r="323" ht="12.75">
      <c r="A323" s="34"/>
    </row>
    <row r="324" ht="12.75">
      <c r="A324" s="34"/>
    </row>
    <row r="325" ht="12.75">
      <c r="A325" s="34"/>
    </row>
    <row r="326" ht="12.75">
      <c r="A326" s="34"/>
    </row>
    <row r="327" ht="12.75">
      <c r="A327" s="34"/>
    </row>
    <row r="328" ht="12.75">
      <c r="A328" s="34"/>
    </row>
    <row r="329" ht="12.75">
      <c r="A329" s="34"/>
    </row>
    <row r="330" ht="12.75">
      <c r="A330" s="34"/>
    </row>
    <row r="331" ht="12.75">
      <c r="A331" s="34"/>
    </row>
    <row r="332" ht="12.75">
      <c r="A332" s="34"/>
    </row>
    <row r="333" ht="12.75">
      <c r="A333" s="34"/>
    </row>
    <row r="334" ht="12.75">
      <c r="A334" s="34"/>
    </row>
    <row r="335" ht="12.75">
      <c r="A335" s="34"/>
    </row>
    <row r="336" ht="12.75">
      <c r="A336" s="34"/>
    </row>
    <row r="337" ht="12.75">
      <c r="A337" s="34"/>
    </row>
    <row r="338" ht="12.75">
      <c r="A338" s="34"/>
    </row>
    <row r="339" ht="12.75">
      <c r="A339" s="34"/>
    </row>
    <row r="340" ht="12.75">
      <c r="A340" s="34"/>
    </row>
    <row r="341" ht="12.75">
      <c r="A341" s="34"/>
    </row>
    <row r="342" ht="12.75">
      <c r="A342" s="34"/>
    </row>
    <row r="343" ht="12.75">
      <c r="A343" s="34"/>
    </row>
    <row r="344" ht="12.75">
      <c r="A344" s="34"/>
    </row>
    <row r="345" ht="12.75">
      <c r="A345" s="34"/>
    </row>
    <row r="346" ht="12.75">
      <c r="A346" s="34"/>
    </row>
    <row r="347" ht="12.75">
      <c r="A347" s="34"/>
    </row>
    <row r="348" ht="12.75">
      <c r="A348" s="34"/>
    </row>
    <row r="349" ht="12.75">
      <c r="A349" s="34"/>
    </row>
    <row r="350" ht="12.75">
      <c r="A350" s="34"/>
    </row>
    <row r="351" ht="12.75">
      <c r="A351" s="34"/>
    </row>
    <row r="352" ht="12.75">
      <c r="A352" s="34"/>
    </row>
    <row r="353" ht="12.75">
      <c r="A353" s="34"/>
    </row>
    <row r="354" ht="12.75">
      <c r="A354" s="34"/>
    </row>
    <row r="355" ht="12.75">
      <c r="A355" s="34"/>
    </row>
    <row r="356" ht="12.75">
      <c r="A356" s="34"/>
    </row>
    <row r="357" ht="12.75">
      <c r="A357" s="34"/>
    </row>
    <row r="358" ht="12.75">
      <c r="A358" s="34"/>
    </row>
    <row r="359" ht="12.75">
      <c r="A359" s="34"/>
    </row>
    <row r="360" ht="12.75">
      <c r="A360" s="34"/>
    </row>
    <row r="361" ht="12.75">
      <c r="A361" s="34"/>
    </row>
    <row r="362" ht="12.75">
      <c r="A362" s="34"/>
    </row>
    <row r="363" ht="12.75">
      <c r="A363" s="34"/>
    </row>
    <row r="364" ht="12.75">
      <c r="A364" s="34"/>
    </row>
    <row r="365" ht="12.75">
      <c r="A365" s="34"/>
    </row>
    <row r="366" ht="12.75">
      <c r="A366" s="34"/>
    </row>
    <row r="367" ht="12.75">
      <c r="A367" s="34"/>
    </row>
    <row r="368" ht="12.75">
      <c r="A368" s="34"/>
    </row>
    <row r="369" ht="12.75">
      <c r="A369" s="34"/>
    </row>
    <row r="370" ht="12.75">
      <c r="A370" s="34"/>
    </row>
    <row r="371" ht="12.75">
      <c r="A371" s="34"/>
    </row>
    <row r="372" ht="12.75">
      <c r="A372" s="34"/>
    </row>
    <row r="373" ht="12.75">
      <c r="A373" s="34"/>
    </row>
    <row r="374" ht="12.75">
      <c r="A374" s="34"/>
    </row>
    <row r="375" ht="12.75">
      <c r="A375" s="34"/>
    </row>
    <row r="376" ht="12.75">
      <c r="A376" s="34"/>
    </row>
    <row r="377" ht="12.75">
      <c r="A377" s="34"/>
    </row>
    <row r="378" ht="12.75">
      <c r="A378" s="34"/>
    </row>
    <row r="379" ht="12.75">
      <c r="A379" s="34"/>
    </row>
    <row r="380" ht="12.75">
      <c r="A380" s="34"/>
    </row>
    <row r="381" ht="12.75">
      <c r="A381" s="34"/>
    </row>
    <row r="382" ht="12.75">
      <c r="A382" s="34"/>
    </row>
    <row r="383" ht="12.75">
      <c r="A383" s="34"/>
    </row>
    <row r="384" ht="12.75">
      <c r="A384" s="34"/>
    </row>
    <row r="385" ht="12.75">
      <c r="A385" s="34"/>
    </row>
    <row r="386" ht="12.75">
      <c r="A386" s="34"/>
    </row>
    <row r="387" ht="12.75">
      <c r="A387" s="34"/>
    </row>
    <row r="388" ht="12.75">
      <c r="A388" s="34"/>
    </row>
    <row r="389" ht="12.75">
      <c r="A389" s="34"/>
    </row>
    <row r="390" ht="12.75">
      <c r="A390" s="34"/>
    </row>
    <row r="391" ht="12.75">
      <c r="A391" s="34"/>
    </row>
    <row r="392" ht="12.75">
      <c r="A392" s="34"/>
    </row>
    <row r="393" ht="12.75">
      <c r="A393" s="34"/>
    </row>
    <row r="394" ht="12.75">
      <c r="A394" s="34"/>
    </row>
    <row r="395" ht="12.75">
      <c r="A395" s="34"/>
    </row>
    <row r="396" ht="12.75">
      <c r="A396" s="34"/>
    </row>
    <row r="397" ht="12.75">
      <c r="A397" s="34"/>
    </row>
    <row r="398" ht="12.75">
      <c r="A398" s="34"/>
    </row>
    <row r="399" ht="12.75">
      <c r="A399" s="34"/>
    </row>
    <row r="400" ht="12.75">
      <c r="A400" s="34"/>
    </row>
    <row r="401" ht="12.75">
      <c r="A401" s="34"/>
    </row>
    <row r="402" ht="12.75">
      <c r="A402" s="34"/>
    </row>
    <row r="403" ht="12.75">
      <c r="A403" s="34"/>
    </row>
    <row r="404" ht="12.75">
      <c r="A404" s="34"/>
    </row>
    <row r="405" ht="12.75">
      <c r="A405" s="34"/>
    </row>
    <row r="406" ht="12.75">
      <c r="A406" s="34"/>
    </row>
    <row r="407" ht="12.75">
      <c r="A407" s="34"/>
    </row>
    <row r="408" ht="12.75">
      <c r="A408" s="34"/>
    </row>
    <row r="409" ht="12.75">
      <c r="A409" s="34"/>
    </row>
    <row r="410" ht="12.75">
      <c r="A410" s="34"/>
    </row>
    <row r="411" ht="12.75">
      <c r="A411" s="34"/>
    </row>
    <row r="412" ht="12.75">
      <c r="A412" s="34"/>
    </row>
    <row r="413" ht="12.75">
      <c r="A413" s="34"/>
    </row>
    <row r="414" ht="12.75">
      <c r="A414" s="34"/>
    </row>
    <row r="415" ht="12.75">
      <c r="A415" s="34"/>
    </row>
    <row r="416" ht="12.75">
      <c r="A416" s="34"/>
    </row>
    <row r="417" ht="12.75">
      <c r="A417" s="34"/>
    </row>
    <row r="418" ht="12.75">
      <c r="A418" s="34"/>
    </row>
    <row r="419" ht="12.75">
      <c r="A419" s="34"/>
    </row>
    <row r="420" ht="12.75">
      <c r="A420" s="34"/>
    </row>
    <row r="421" ht="12.75">
      <c r="A421" s="34"/>
    </row>
    <row r="422" ht="12.75">
      <c r="A422" s="34"/>
    </row>
    <row r="423" ht="12.75">
      <c r="A423" s="34"/>
    </row>
    <row r="424" ht="12.75">
      <c r="A424" s="34"/>
    </row>
    <row r="425" ht="12.75">
      <c r="A425" s="34"/>
    </row>
    <row r="426" ht="12.75">
      <c r="A426" s="34"/>
    </row>
    <row r="427" ht="12.75">
      <c r="A427" s="34"/>
    </row>
    <row r="428" ht="12.75">
      <c r="A428" s="34"/>
    </row>
    <row r="429" ht="12.75">
      <c r="A429" s="34"/>
    </row>
    <row r="430" ht="12.75">
      <c r="A430" s="34"/>
    </row>
    <row r="431" ht="12.75">
      <c r="A431" s="34"/>
    </row>
    <row r="432" ht="12.75">
      <c r="A432" s="34"/>
    </row>
    <row r="433" ht="12.75">
      <c r="A433" s="34"/>
    </row>
    <row r="434" ht="12.75">
      <c r="A434" s="34"/>
    </row>
    <row r="435" ht="12.75">
      <c r="A435" s="34"/>
    </row>
    <row r="436" ht="12.75">
      <c r="A436" s="34"/>
    </row>
    <row r="437" ht="12.75">
      <c r="A437" s="34"/>
    </row>
    <row r="438" ht="12.75">
      <c r="A438" s="34"/>
    </row>
    <row r="439" ht="12.75">
      <c r="A439" s="34"/>
    </row>
    <row r="440" ht="12.75">
      <c r="A440" s="34"/>
    </row>
    <row r="441" ht="12.75">
      <c r="A441" s="34"/>
    </row>
    <row r="442" ht="12.75">
      <c r="A442" s="34"/>
    </row>
    <row r="443" ht="12.75">
      <c r="A443" s="34"/>
    </row>
    <row r="444" ht="12.75">
      <c r="A444" s="34"/>
    </row>
    <row r="445" ht="12.75">
      <c r="A445" s="34"/>
    </row>
    <row r="446" ht="12.75">
      <c r="A446" s="34"/>
    </row>
    <row r="447" ht="12.75">
      <c r="A447" s="34"/>
    </row>
    <row r="448" ht="12.75">
      <c r="A448" s="34"/>
    </row>
    <row r="449" ht="12.75">
      <c r="A449" s="34"/>
    </row>
    <row r="450" ht="12.75">
      <c r="A450" s="34"/>
    </row>
    <row r="451" ht="12.75">
      <c r="A451" s="34"/>
    </row>
    <row r="452" ht="12.75">
      <c r="A452" s="34"/>
    </row>
    <row r="453" ht="12.75">
      <c r="A453" s="34"/>
    </row>
    <row r="454" ht="12.75">
      <c r="A454" s="34"/>
    </row>
    <row r="455" ht="12.75">
      <c r="A455" s="34"/>
    </row>
    <row r="456" ht="12.75">
      <c r="A456" s="34"/>
    </row>
    <row r="457" ht="12.75">
      <c r="A457" s="34"/>
    </row>
    <row r="458" ht="12.75">
      <c r="A458" s="34"/>
    </row>
    <row r="459" ht="12.75">
      <c r="A459" s="34"/>
    </row>
    <row r="460" ht="12.75">
      <c r="A460" s="34"/>
    </row>
    <row r="461" ht="12.75">
      <c r="A461" s="34"/>
    </row>
    <row r="462" ht="12.75">
      <c r="A462" s="34"/>
    </row>
    <row r="463" ht="12.75">
      <c r="A463" s="34"/>
    </row>
    <row r="464" ht="12.75">
      <c r="A464" s="34"/>
    </row>
    <row r="465" ht="12.75">
      <c r="A465" s="34"/>
    </row>
    <row r="466" ht="12.75">
      <c r="A466" s="34"/>
    </row>
    <row r="467" ht="12.75">
      <c r="A467" s="34"/>
    </row>
    <row r="468" ht="12.75">
      <c r="A468" s="34"/>
    </row>
    <row r="469" ht="12.75">
      <c r="A469" s="34"/>
    </row>
    <row r="470" ht="12.75">
      <c r="A470" s="34"/>
    </row>
    <row r="471" ht="12.75">
      <c r="A471" s="34"/>
    </row>
    <row r="472" ht="12.75">
      <c r="A472" s="34"/>
    </row>
    <row r="473" ht="12.75">
      <c r="A473" s="34"/>
    </row>
    <row r="474" ht="12.75">
      <c r="A474" s="34"/>
    </row>
    <row r="475" ht="12.75">
      <c r="A475" s="34"/>
    </row>
    <row r="476" ht="12.75">
      <c r="A476" s="34"/>
    </row>
    <row r="477" ht="12.75">
      <c r="A477" s="34"/>
    </row>
    <row r="478" ht="12.75">
      <c r="A478" s="34"/>
    </row>
    <row r="479" ht="12.75">
      <c r="A479" s="34"/>
    </row>
    <row r="480" ht="12.75">
      <c r="A480" s="34"/>
    </row>
    <row r="481" ht="12.75">
      <c r="A481" s="34"/>
    </row>
    <row r="482" ht="12.75">
      <c r="A482" s="34"/>
    </row>
    <row r="483" ht="12.75">
      <c r="A483" s="34"/>
    </row>
    <row r="484" ht="12.75">
      <c r="A484" s="34"/>
    </row>
    <row r="485" ht="12.75">
      <c r="A485" s="34"/>
    </row>
    <row r="486" ht="12.75">
      <c r="A486" s="34"/>
    </row>
    <row r="487" ht="12.75">
      <c r="A487" s="34"/>
    </row>
    <row r="488" ht="12.75">
      <c r="A488" s="34"/>
    </row>
    <row r="489" ht="12.75">
      <c r="A489" s="34"/>
    </row>
    <row r="490" ht="12.75">
      <c r="A490" s="34"/>
    </row>
    <row r="491" ht="12.75">
      <c r="A491" s="34"/>
    </row>
    <row r="492" ht="12.75">
      <c r="A492" s="34"/>
    </row>
    <row r="493" ht="12.75">
      <c r="A493" s="34"/>
    </row>
    <row r="494" ht="12.75">
      <c r="A494" s="34"/>
    </row>
    <row r="495" ht="12.75">
      <c r="A495" s="34"/>
    </row>
    <row r="496" ht="12.75">
      <c r="A496" s="34"/>
    </row>
    <row r="497" ht="12.75">
      <c r="A497" s="34"/>
    </row>
    <row r="498" ht="12.75">
      <c r="A498" s="34"/>
    </row>
    <row r="499" ht="12.75">
      <c r="A499" s="34"/>
    </row>
    <row r="500" ht="12.75">
      <c r="A500" s="34"/>
    </row>
    <row r="501" ht="12.75">
      <c r="A501" s="34"/>
    </row>
    <row r="502" ht="12.75">
      <c r="A502" s="34"/>
    </row>
    <row r="503" ht="12.75">
      <c r="A503" s="34"/>
    </row>
    <row r="504" ht="12.75">
      <c r="A504" s="34"/>
    </row>
    <row r="505" ht="12.75">
      <c r="A505" s="34"/>
    </row>
    <row r="506" ht="12.75">
      <c r="A506" s="34"/>
    </row>
    <row r="507" ht="12.75">
      <c r="A507" s="34"/>
    </row>
    <row r="508" ht="12.75">
      <c r="A508" s="34"/>
    </row>
    <row r="509" ht="12.75">
      <c r="A509" s="34"/>
    </row>
    <row r="510" ht="12.75">
      <c r="A510" s="34"/>
    </row>
    <row r="511" ht="12.75">
      <c r="A511" s="34"/>
    </row>
    <row r="512" ht="12.75">
      <c r="A512" s="34"/>
    </row>
    <row r="513" ht="12.75">
      <c r="A513" s="34"/>
    </row>
    <row r="514" ht="12.75">
      <c r="A514" s="34"/>
    </row>
    <row r="515" ht="12.75">
      <c r="A515" s="34"/>
    </row>
    <row r="516" ht="12.75">
      <c r="A516" s="34"/>
    </row>
    <row r="517" ht="12.75">
      <c r="A517" s="34"/>
    </row>
    <row r="518" ht="12.75">
      <c r="A518" s="34"/>
    </row>
    <row r="519" ht="12.75">
      <c r="A519" s="34"/>
    </row>
    <row r="520" ht="12.75">
      <c r="A520" s="34"/>
    </row>
    <row r="521" ht="12.75">
      <c r="A521" s="34"/>
    </row>
    <row r="522" ht="12.75">
      <c r="A522" s="34"/>
    </row>
    <row r="523" ht="12.75">
      <c r="A523" s="34"/>
    </row>
    <row r="524" ht="12.75">
      <c r="A524" s="34"/>
    </row>
    <row r="525" ht="12.75">
      <c r="A525" s="34"/>
    </row>
    <row r="526" ht="12.75">
      <c r="A526" s="34"/>
    </row>
    <row r="527" ht="12.75">
      <c r="A527" s="34"/>
    </row>
    <row r="528" ht="12.75">
      <c r="A528" s="34"/>
    </row>
    <row r="529" ht="12.75">
      <c r="A529" s="34"/>
    </row>
    <row r="530" ht="12.75">
      <c r="A530" s="34"/>
    </row>
    <row r="531" ht="12.75">
      <c r="A531" s="34"/>
    </row>
    <row r="532" ht="12.75">
      <c r="A532" s="34"/>
    </row>
    <row r="533" ht="12.75">
      <c r="A533" s="34"/>
    </row>
    <row r="534" ht="12.75">
      <c r="A534" s="34"/>
    </row>
    <row r="535" ht="12.75">
      <c r="A535" s="34"/>
    </row>
    <row r="536" ht="12.75">
      <c r="A536" s="34"/>
    </row>
    <row r="537" ht="12.75">
      <c r="A537" s="34"/>
    </row>
    <row r="538" ht="12.75">
      <c r="A538" s="34"/>
    </row>
    <row r="539" ht="12.75">
      <c r="A539" s="34"/>
    </row>
    <row r="540" ht="12.75">
      <c r="A540" s="34"/>
    </row>
    <row r="541" ht="12.75">
      <c r="A541" s="34"/>
    </row>
    <row r="542" ht="12.75">
      <c r="A542" s="34"/>
    </row>
    <row r="543" ht="12.75">
      <c r="A543" s="34"/>
    </row>
    <row r="544" ht="12.75">
      <c r="A544" s="34"/>
    </row>
    <row r="545" ht="12.75">
      <c r="A545" s="34"/>
    </row>
    <row r="546" ht="12.75">
      <c r="A546" s="34"/>
    </row>
    <row r="547" ht="12.75">
      <c r="A547" s="34"/>
    </row>
    <row r="548" ht="12.75">
      <c r="A548" s="34"/>
    </row>
    <row r="549" ht="12.75">
      <c r="A549" s="34"/>
    </row>
    <row r="550" ht="12.75">
      <c r="A550" s="34"/>
    </row>
    <row r="551" ht="12.75">
      <c r="A551" s="34"/>
    </row>
    <row r="552" ht="12.75">
      <c r="A552" s="34"/>
    </row>
    <row r="553" ht="12.75">
      <c r="A553" s="34"/>
    </row>
    <row r="554" ht="12.75">
      <c r="A554" s="34"/>
    </row>
    <row r="555" ht="12.75">
      <c r="A555" s="34"/>
    </row>
    <row r="556" ht="12.75">
      <c r="A556" s="34"/>
    </row>
    <row r="557" ht="12.75">
      <c r="A557" s="34"/>
    </row>
    <row r="558" ht="12.75">
      <c r="A558" s="34"/>
    </row>
    <row r="559" ht="12.75">
      <c r="A559" s="34"/>
    </row>
    <row r="560" ht="12.75">
      <c r="A560" s="34"/>
    </row>
    <row r="561" ht="12.75">
      <c r="A561" s="34"/>
    </row>
    <row r="562" ht="12.75">
      <c r="A562" s="34"/>
    </row>
    <row r="563" ht="12.75">
      <c r="A563" s="34"/>
    </row>
    <row r="564" ht="12.75">
      <c r="A564" s="34"/>
    </row>
    <row r="565" ht="12.75">
      <c r="A565" s="34"/>
    </row>
    <row r="566" ht="12.75">
      <c r="A566" s="34"/>
    </row>
    <row r="567" ht="12.75">
      <c r="A567" s="34"/>
    </row>
    <row r="568" ht="12.75">
      <c r="A568" s="34"/>
    </row>
    <row r="569" ht="12.75">
      <c r="A569" s="34"/>
    </row>
    <row r="570" ht="12.75">
      <c r="A570" s="34"/>
    </row>
    <row r="571" ht="12.75">
      <c r="A571" s="34"/>
    </row>
    <row r="572" ht="12.75">
      <c r="A572" s="34"/>
    </row>
    <row r="573" ht="12.75">
      <c r="A573" s="34"/>
    </row>
    <row r="574" ht="12.75">
      <c r="A574" s="34"/>
    </row>
    <row r="575" ht="12.75">
      <c r="A575" s="34"/>
    </row>
    <row r="576" ht="12.75">
      <c r="A576" s="34"/>
    </row>
    <row r="577" ht="12.75">
      <c r="A577" s="34"/>
    </row>
    <row r="578" ht="12.75">
      <c r="A578" s="34"/>
    </row>
    <row r="579" ht="12.75">
      <c r="A579" s="34"/>
    </row>
    <row r="580" ht="12.75">
      <c r="A580" s="34"/>
    </row>
    <row r="581" ht="12.75">
      <c r="A581" s="34"/>
    </row>
    <row r="582" ht="12.75">
      <c r="A582" s="34"/>
    </row>
    <row r="583" ht="12.75">
      <c r="A583" s="34"/>
    </row>
    <row r="584" ht="12.75">
      <c r="A584" s="34"/>
    </row>
    <row r="585" ht="12.75">
      <c r="A585" s="34"/>
    </row>
    <row r="586" ht="12.75">
      <c r="A586" s="34"/>
    </row>
    <row r="587" ht="12.75">
      <c r="A587" s="34"/>
    </row>
    <row r="588" ht="12.75">
      <c r="A588" s="34"/>
    </row>
    <row r="589" ht="12.75">
      <c r="A589" s="34"/>
    </row>
    <row r="590" ht="12.75">
      <c r="A590" s="34"/>
    </row>
    <row r="591" ht="12.75">
      <c r="A591" s="34"/>
    </row>
    <row r="592" ht="12.75">
      <c r="A592" s="34"/>
    </row>
    <row r="593" ht="12.75">
      <c r="A593" s="34"/>
    </row>
    <row r="594" ht="12.75">
      <c r="A594" s="34"/>
    </row>
    <row r="595" ht="12.75">
      <c r="A595" s="34"/>
    </row>
    <row r="596" ht="12.75">
      <c r="A596" s="34"/>
    </row>
    <row r="597" ht="12.75">
      <c r="A597" s="34"/>
    </row>
    <row r="598" ht="12.75">
      <c r="A598" s="34"/>
    </row>
    <row r="599" ht="12.75">
      <c r="A599" s="34"/>
    </row>
    <row r="600" ht="12.75">
      <c r="A600" s="34"/>
    </row>
    <row r="601" ht="12.75">
      <c r="A601" s="34"/>
    </row>
    <row r="602" ht="12.75">
      <c r="A602" s="34"/>
    </row>
    <row r="603" ht="12.75">
      <c r="A603" s="34"/>
    </row>
    <row r="604" ht="12.75">
      <c r="A604" s="34"/>
    </row>
    <row r="605" ht="12.75">
      <c r="A605" s="34"/>
    </row>
    <row r="606" ht="12.75">
      <c r="A606" s="34"/>
    </row>
    <row r="607" ht="12.75">
      <c r="A607" s="34"/>
    </row>
    <row r="608" ht="12.75">
      <c r="A608" s="34"/>
    </row>
    <row r="609" ht="12.75">
      <c r="A609" s="34"/>
    </row>
    <row r="610" ht="12.75">
      <c r="A610" s="34"/>
    </row>
    <row r="611" ht="12.75">
      <c r="A611" s="34"/>
    </row>
    <row r="612" ht="12.75">
      <c r="A612" s="34"/>
    </row>
    <row r="613" ht="12.75">
      <c r="A613" s="34"/>
    </row>
    <row r="614" ht="12.75">
      <c r="A614" s="34"/>
    </row>
    <row r="615" ht="12.75">
      <c r="A615" s="34"/>
    </row>
    <row r="616" ht="12.75">
      <c r="A616" s="34"/>
    </row>
    <row r="617" ht="12.75">
      <c r="A617" s="34"/>
    </row>
    <row r="618" ht="12.75">
      <c r="A618" s="34"/>
    </row>
    <row r="619" ht="12.75">
      <c r="A619" s="34"/>
    </row>
    <row r="620" ht="12.75">
      <c r="A620" s="34"/>
    </row>
    <row r="621" ht="12.75">
      <c r="A621" s="34"/>
    </row>
    <row r="622" ht="12.75">
      <c r="A622" s="34"/>
    </row>
    <row r="623" ht="12.75">
      <c r="A623" s="34"/>
    </row>
    <row r="624" ht="12.75">
      <c r="A624" s="34"/>
    </row>
    <row r="625" ht="12.75">
      <c r="A625" s="34"/>
    </row>
    <row r="626" ht="12.75">
      <c r="A626" s="34"/>
    </row>
    <row r="627" ht="12.75">
      <c r="A627" s="34"/>
    </row>
    <row r="628" ht="12.75">
      <c r="A628" s="34"/>
    </row>
    <row r="629" ht="12.75">
      <c r="A629" s="34"/>
    </row>
    <row r="630" ht="12.75">
      <c r="A630" s="34"/>
    </row>
    <row r="631" ht="12.75">
      <c r="A631" s="34"/>
    </row>
    <row r="632" ht="12.75">
      <c r="A632" s="34"/>
    </row>
    <row r="633" ht="12.75">
      <c r="A633" s="34"/>
    </row>
    <row r="634" ht="12.75">
      <c r="A634" s="34"/>
    </row>
    <row r="635" ht="12.75">
      <c r="A635" s="34"/>
    </row>
    <row r="636" ht="12.75">
      <c r="A636" s="34"/>
    </row>
    <row r="637" ht="12.75">
      <c r="A637" s="34"/>
    </row>
    <row r="638" ht="12.75">
      <c r="A638" s="34"/>
    </row>
    <row r="639" ht="12.75">
      <c r="A639" s="34"/>
    </row>
    <row r="640" ht="12.75">
      <c r="A640" s="34"/>
    </row>
    <row r="641" ht="12.75">
      <c r="A641" s="34"/>
    </row>
    <row r="642" ht="12.75">
      <c r="A642" s="34"/>
    </row>
    <row r="643" ht="12.75">
      <c r="A643" s="34"/>
    </row>
    <row r="644" ht="12.75">
      <c r="A644" s="34"/>
    </row>
    <row r="645" ht="12.75">
      <c r="A645" s="34"/>
    </row>
    <row r="646" ht="12.75">
      <c r="A646" s="34"/>
    </row>
    <row r="647" ht="12.75">
      <c r="A647" s="34"/>
    </row>
    <row r="648" ht="12.75">
      <c r="A648" s="34"/>
    </row>
    <row r="649" ht="12.75">
      <c r="A649" s="34"/>
    </row>
    <row r="650" ht="12.75">
      <c r="A650" s="34"/>
    </row>
    <row r="651" ht="12.75">
      <c r="A651" s="34"/>
    </row>
    <row r="652" ht="12.75">
      <c r="A652" s="34"/>
    </row>
    <row r="653" ht="12.75">
      <c r="A653" s="34"/>
    </row>
    <row r="654" ht="12.75">
      <c r="A654" s="34"/>
    </row>
    <row r="655" ht="12.75">
      <c r="A655" s="34"/>
    </row>
    <row r="656" ht="12.75">
      <c r="A656" s="34"/>
    </row>
    <row r="657" ht="12.75">
      <c r="A657" s="34"/>
    </row>
    <row r="658" ht="12.75">
      <c r="A658" s="34"/>
    </row>
    <row r="659" ht="12.75">
      <c r="A659" s="34"/>
    </row>
    <row r="660" ht="12.75">
      <c r="A660" s="34"/>
    </row>
    <row r="661" ht="12.75">
      <c r="A661" s="34"/>
    </row>
    <row r="662" ht="12.75">
      <c r="A662" s="34"/>
    </row>
    <row r="663" ht="12.75">
      <c r="A663" s="34"/>
    </row>
    <row r="664" ht="12.75">
      <c r="A664" s="34"/>
    </row>
    <row r="665" ht="12.75">
      <c r="A665" s="34"/>
    </row>
    <row r="666" ht="12.75">
      <c r="A666" s="34"/>
    </row>
    <row r="667" ht="12.75">
      <c r="A667" s="34"/>
    </row>
    <row r="668" ht="12.75">
      <c r="A668" s="34"/>
    </row>
    <row r="669" ht="12.75">
      <c r="A669" s="34"/>
    </row>
    <row r="670" ht="12.75">
      <c r="A670" s="34"/>
    </row>
    <row r="671" ht="12.75">
      <c r="A671" s="34"/>
    </row>
    <row r="672" ht="12.75">
      <c r="A672" s="34"/>
    </row>
    <row r="673" ht="12.75">
      <c r="A673" s="34"/>
    </row>
    <row r="674" ht="12.75">
      <c r="A674" s="34"/>
    </row>
    <row r="675" ht="12.75">
      <c r="A675" s="34"/>
    </row>
    <row r="676" ht="12.75">
      <c r="A676" s="34"/>
    </row>
    <row r="677" ht="12.75">
      <c r="A677" s="34"/>
    </row>
    <row r="678" ht="12.75">
      <c r="A678" s="34"/>
    </row>
    <row r="679" ht="12.75">
      <c r="A679" s="34"/>
    </row>
    <row r="680" ht="12.75">
      <c r="A680" s="34"/>
    </row>
    <row r="681" ht="12.75">
      <c r="A681" s="34"/>
    </row>
    <row r="682" ht="12.75">
      <c r="A682" s="34"/>
    </row>
    <row r="683" ht="12.75">
      <c r="A683" s="34"/>
    </row>
    <row r="684" ht="12.75">
      <c r="A684" s="34"/>
    </row>
    <row r="685" ht="12.75">
      <c r="A685" s="34"/>
    </row>
    <row r="686" ht="12.75">
      <c r="A686" s="34"/>
    </row>
    <row r="687" ht="12.75">
      <c r="A687" s="34"/>
    </row>
    <row r="688" ht="12.75">
      <c r="A688" s="34"/>
    </row>
    <row r="689" ht="12.75">
      <c r="A689" s="34"/>
    </row>
    <row r="690" ht="12.75">
      <c r="A690" s="34"/>
    </row>
    <row r="691" ht="12.75">
      <c r="A691" s="34"/>
    </row>
    <row r="692" ht="12.75">
      <c r="A692" s="34"/>
    </row>
    <row r="693" ht="12.75">
      <c r="A693" s="34"/>
    </row>
    <row r="694" ht="12.75">
      <c r="A694" s="34"/>
    </row>
    <row r="695" ht="12.75">
      <c r="A695" s="34"/>
    </row>
    <row r="696" ht="12.75">
      <c r="A696" s="34"/>
    </row>
    <row r="697" ht="12.75">
      <c r="A697" s="34"/>
    </row>
    <row r="698" ht="12.75">
      <c r="A698" s="34"/>
    </row>
    <row r="699" ht="12.75">
      <c r="A699" s="34"/>
    </row>
    <row r="700" ht="12.75">
      <c r="A700" s="34"/>
    </row>
    <row r="701" ht="12.75">
      <c r="A701" s="34"/>
    </row>
    <row r="702" ht="12.75">
      <c r="A702" s="34"/>
    </row>
    <row r="703" ht="12.75">
      <c r="A703" s="34"/>
    </row>
    <row r="704" ht="12.75">
      <c r="A704" s="34"/>
    </row>
    <row r="705" ht="12.75">
      <c r="A705" s="34"/>
    </row>
    <row r="706" ht="12.75">
      <c r="A706" s="34"/>
    </row>
    <row r="707" ht="12.75">
      <c r="A707" s="34"/>
    </row>
    <row r="708" ht="12.75">
      <c r="A708" s="34"/>
    </row>
    <row r="709" ht="12.75">
      <c r="A709" s="34"/>
    </row>
    <row r="710" ht="12.75">
      <c r="A710" s="34"/>
    </row>
    <row r="711" ht="12.75">
      <c r="A711" s="34"/>
    </row>
    <row r="712" ht="12.75">
      <c r="A712" s="34"/>
    </row>
    <row r="713" ht="12.75">
      <c r="A713" s="34"/>
    </row>
    <row r="714" ht="12.75">
      <c r="A714" s="34"/>
    </row>
    <row r="715" ht="12.75">
      <c r="A715" s="34"/>
    </row>
    <row r="716" ht="12.75">
      <c r="A716" s="34"/>
    </row>
    <row r="717" ht="12.75">
      <c r="A717" s="34"/>
    </row>
    <row r="718" ht="12.75">
      <c r="A718" s="34"/>
    </row>
    <row r="719" ht="12.75">
      <c r="A719" s="34"/>
    </row>
    <row r="720" ht="12.75">
      <c r="A720" s="34"/>
    </row>
    <row r="721" ht="12.75">
      <c r="A721" s="34"/>
    </row>
    <row r="722" ht="12.75">
      <c r="A722" s="34"/>
    </row>
    <row r="723" ht="12.75">
      <c r="A723" s="34"/>
    </row>
    <row r="724" ht="12.75">
      <c r="A724" s="34"/>
    </row>
    <row r="725" ht="12.75">
      <c r="A725" s="34"/>
    </row>
    <row r="726" ht="12.75">
      <c r="A726" s="34"/>
    </row>
    <row r="727" ht="12.75">
      <c r="A727" s="34"/>
    </row>
    <row r="728" ht="12.75">
      <c r="A728" s="34"/>
    </row>
    <row r="729" ht="12.75">
      <c r="A729" s="34"/>
    </row>
    <row r="730" ht="12.75">
      <c r="A730" s="34"/>
    </row>
    <row r="731" ht="12.75">
      <c r="A731" s="34"/>
    </row>
    <row r="732" ht="12.75">
      <c r="A732" s="34"/>
    </row>
    <row r="733" ht="12.75">
      <c r="A733" s="34"/>
    </row>
    <row r="734" ht="12.75">
      <c r="A734" s="34"/>
    </row>
    <row r="735" ht="12.75">
      <c r="A735" s="34"/>
    </row>
    <row r="736" ht="12.75">
      <c r="A736" s="34"/>
    </row>
    <row r="737" ht="12.75">
      <c r="A737" s="34"/>
    </row>
    <row r="738" ht="12.75">
      <c r="A738" s="34"/>
    </row>
    <row r="739" ht="12.75">
      <c r="A739" s="34"/>
    </row>
    <row r="740" ht="12.75">
      <c r="A740" s="34"/>
    </row>
    <row r="741" ht="12.75">
      <c r="A741" s="34"/>
    </row>
    <row r="742" ht="12.75">
      <c r="A742" s="34"/>
    </row>
    <row r="743" ht="12.75">
      <c r="A743" s="34"/>
    </row>
    <row r="744" ht="12.75">
      <c r="A744" s="34"/>
    </row>
    <row r="745" ht="12.75">
      <c r="A745" s="34"/>
    </row>
    <row r="746" ht="12.75">
      <c r="A746" s="34"/>
    </row>
    <row r="747" ht="12.75">
      <c r="A747" s="34"/>
    </row>
    <row r="748" ht="12.75">
      <c r="A748" s="34"/>
    </row>
    <row r="749" ht="12.75">
      <c r="A749" s="34"/>
    </row>
    <row r="750" ht="12.75">
      <c r="A750" s="34"/>
    </row>
    <row r="751" ht="12.75">
      <c r="A751" s="34"/>
    </row>
    <row r="752" ht="12.75">
      <c r="A752" s="34"/>
    </row>
    <row r="753" ht="12.75">
      <c r="A753" s="34"/>
    </row>
    <row r="754" ht="12.75">
      <c r="A754" s="34"/>
    </row>
    <row r="755" ht="12.75">
      <c r="A755" s="34"/>
    </row>
    <row r="756" ht="12.75">
      <c r="A756" s="34"/>
    </row>
    <row r="757" ht="12.75">
      <c r="A757" s="34"/>
    </row>
    <row r="758" ht="12.75">
      <c r="A758" s="34"/>
    </row>
    <row r="759" ht="12.75">
      <c r="A759" s="34"/>
    </row>
    <row r="760" ht="12.75">
      <c r="A760" s="34"/>
    </row>
    <row r="761" ht="12.75">
      <c r="A761" s="34"/>
    </row>
    <row r="762" ht="12.75">
      <c r="A762" s="34"/>
    </row>
    <row r="763" ht="12.75">
      <c r="A763" s="34"/>
    </row>
    <row r="764" ht="12.75">
      <c r="A764" s="34"/>
    </row>
    <row r="765" ht="12.75">
      <c r="A765" s="34"/>
    </row>
    <row r="766" ht="12.75">
      <c r="A766" s="34"/>
    </row>
    <row r="767" ht="12.75">
      <c r="A767" s="34"/>
    </row>
    <row r="768" ht="12.75">
      <c r="A768" s="34"/>
    </row>
    <row r="769" ht="12.75">
      <c r="A769" s="34"/>
    </row>
    <row r="770" ht="12.75">
      <c r="A770" s="34"/>
    </row>
    <row r="771" ht="12.75">
      <c r="A771" s="34"/>
    </row>
    <row r="772" ht="12.75">
      <c r="A772" s="34"/>
    </row>
    <row r="773" ht="12.75">
      <c r="A773" s="34"/>
    </row>
    <row r="774" ht="12.75">
      <c r="A774" s="34"/>
    </row>
    <row r="775" ht="12.75">
      <c r="A775" s="34"/>
    </row>
    <row r="776" ht="12.75">
      <c r="A776" s="34"/>
    </row>
    <row r="777" ht="12.75">
      <c r="A777" s="34"/>
    </row>
    <row r="778" ht="12.75">
      <c r="A778" s="34"/>
    </row>
    <row r="779" ht="12.75">
      <c r="A779" s="34"/>
    </row>
    <row r="780" ht="12.75">
      <c r="A780" s="34"/>
    </row>
    <row r="781" ht="12.75">
      <c r="A781" s="34"/>
    </row>
    <row r="782" ht="12.75">
      <c r="A782" s="34"/>
    </row>
    <row r="783" ht="12.75">
      <c r="A783" s="34"/>
    </row>
    <row r="784" ht="12.75">
      <c r="A784" s="34"/>
    </row>
    <row r="785" ht="12.75">
      <c r="A785" s="34"/>
    </row>
    <row r="786" ht="12.75">
      <c r="A786" s="34"/>
    </row>
    <row r="787" ht="12.75">
      <c r="A787" s="34"/>
    </row>
    <row r="788" ht="12.75">
      <c r="A788" s="34"/>
    </row>
    <row r="789" ht="12.75">
      <c r="A789" s="34"/>
    </row>
    <row r="790" ht="12.75">
      <c r="A790" s="34"/>
    </row>
    <row r="791" ht="12.75">
      <c r="A791" s="34"/>
    </row>
    <row r="792" ht="12.75">
      <c r="A792" s="34"/>
    </row>
    <row r="793" ht="12.75">
      <c r="A793" s="34"/>
    </row>
    <row r="794" ht="12.75">
      <c r="A794" s="34"/>
    </row>
    <row r="795" ht="12.75">
      <c r="A795" s="34"/>
    </row>
    <row r="796" ht="12.75">
      <c r="A796" s="34"/>
    </row>
    <row r="797" ht="12.75">
      <c r="A797" s="34"/>
    </row>
    <row r="798" ht="12.75">
      <c r="A798" s="34"/>
    </row>
    <row r="799" ht="12.75">
      <c r="A799" s="34"/>
    </row>
    <row r="800" ht="12.75">
      <c r="A800" s="34"/>
    </row>
    <row r="801" ht="12.75">
      <c r="A801" s="34"/>
    </row>
    <row r="802" ht="12.75">
      <c r="A802" s="34"/>
    </row>
    <row r="803" ht="12.75">
      <c r="A803" s="34"/>
    </row>
    <row r="804" ht="12.75">
      <c r="A804" s="34"/>
    </row>
    <row r="805" ht="12.75">
      <c r="A805" s="34"/>
    </row>
    <row r="806" ht="12.75">
      <c r="A806" s="34"/>
    </row>
    <row r="807" ht="12.75">
      <c r="A807" s="34"/>
    </row>
    <row r="808" ht="12.75">
      <c r="A808" s="34"/>
    </row>
    <row r="809" ht="12.75">
      <c r="A809" s="34"/>
    </row>
    <row r="810" ht="12.75">
      <c r="A810" s="34"/>
    </row>
    <row r="811" ht="12.75">
      <c r="A811" s="34"/>
    </row>
    <row r="812" ht="12.75">
      <c r="A812" s="34"/>
    </row>
    <row r="813" ht="12.75">
      <c r="A813" s="34"/>
    </row>
    <row r="814" ht="12.75">
      <c r="A814" s="34"/>
    </row>
    <row r="815" ht="12.75">
      <c r="A815" s="34"/>
    </row>
    <row r="816" ht="12.75">
      <c r="A816" s="34"/>
    </row>
    <row r="817" ht="12.75">
      <c r="A817" s="34"/>
    </row>
    <row r="818" ht="12.75">
      <c r="A818" s="34"/>
    </row>
    <row r="819" ht="12.75">
      <c r="A819" s="34"/>
    </row>
    <row r="820" ht="12.75">
      <c r="A820" s="34"/>
    </row>
    <row r="821" ht="12.75">
      <c r="A821" s="34"/>
    </row>
    <row r="822" ht="12.75">
      <c r="A822" s="34"/>
    </row>
    <row r="823" ht="12.75">
      <c r="A823" s="34"/>
    </row>
    <row r="824" ht="12.75">
      <c r="A824" s="34"/>
    </row>
    <row r="825" ht="12.75">
      <c r="A825" s="34"/>
    </row>
    <row r="826" ht="12.75">
      <c r="A826" s="34"/>
    </row>
    <row r="827" ht="12.75">
      <c r="A827" s="34"/>
    </row>
    <row r="828" ht="12.75">
      <c r="A828" s="34"/>
    </row>
    <row r="829" ht="12.75">
      <c r="A829" s="34"/>
    </row>
    <row r="830" ht="12.75">
      <c r="A830" s="34"/>
    </row>
    <row r="831" ht="12.75">
      <c r="A831" s="34"/>
    </row>
    <row r="832" ht="12.75">
      <c r="A832" s="34"/>
    </row>
    <row r="833" ht="12.75">
      <c r="A833" s="34"/>
    </row>
    <row r="834" ht="12.75">
      <c r="A834" s="34"/>
    </row>
    <row r="835" ht="12.75">
      <c r="A835" s="34"/>
    </row>
    <row r="836" ht="12.75">
      <c r="A836" s="34"/>
    </row>
    <row r="837" ht="12.75">
      <c r="A837" s="34"/>
    </row>
    <row r="838" ht="12.75">
      <c r="A838" s="34"/>
    </row>
    <row r="839" ht="12.75">
      <c r="A839" s="34"/>
    </row>
    <row r="840" ht="12.75">
      <c r="A840" s="34"/>
    </row>
    <row r="841" ht="12.75">
      <c r="A841" s="34"/>
    </row>
    <row r="842" ht="12.75">
      <c r="A842" s="34"/>
    </row>
    <row r="843" ht="12.75">
      <c r="A843" s="34"/>
    </row>
    <row r="844" ht="12.75">
      <c r="A844" s="34"/>
    </row>
    <row r="845" ht="12.75">
      <c r="A845" s="34"/>
    </row>
    <row r="846" ht="12.75">
      <c r="A846" s="34"/>
    </row>
    <row r="847" ht="12.75">
      <c r="A847" s="34"/>
    </row>
    <row r="848" ht="12.75">
      <c r="A848" s="34"/>
    </row>
    <row r="849" ht="12.75">
      <c r="A849" s="34"/>
    </row>
    <row r="850" ht="12.75">
      <c r="A850" s="34"/>
    </row>
    <row r="851" ht="12.75">
      <c r="A851" s="34"/>
    </row>
    <row r="852" ht="12.75">
      <c r="A852" s="34"/>
    </row>
    <row r="853" ht="12.75">
      <c r="A853" s="34"/>
    </row>
    <row r="854" ht="12.75">
      <c r="A854" s="34"/>
    </row>
    <row r="855" ht="12.75">
      <c r="A855" s="34"/>
    </row>
    <row r="856" ht="12.75">
      <c r="A856" s="34"/>
    </row>
    <row r="857" ht="12.75">
      <c r="A857" s="34"/>
    </row>
    <row r="858" ht="12.75">
      <c r="A858" s="34"/>
    </row>
    <row r="859" ht="12.75">
      <c r="A859" s="34"/>
    </row>
    <row r="860" ht="12.75">
      <c r="A860" s="34"/>
    </row>
    <row r="861" ht="12.75">
      <c r="A861" s="34"/>
    </row>
    <row r="862" ht="12.75">
      <c r="A862" s="34"/>
    </row>
    <row r="863" ht="12.75">
      <c r="A863" s="34"/>
    </row>
    <row r="864" ht="12.75">
      <c r="A864" s="34"/>
    </row>
    <row r="865" ht="12.75">
      <c r="A865" s="34"/>
    </row>
    <row r="866" ht="12.75">
      <c r="A866" s="34"/>
    </row>
    <row r="867" ht="12.75">
      <c r="A867" s="34"/>
    </row>
    <row r="868" ht="12.75">
      <c r="A868" s="34"/>
    </row>
    <row r="869" ht="12.75">
      <c r="A869" s="34"/>
    </row>
    <row r="870" ht="12.75">
      <c r="A870" s="34"/>
    </row>
    <row r="871" ht="12.75">
      <c r="A871" s="34"/>
    </row>
    <row r="872" ht="12.75">
      <c r="A872" s="34"/>
    </row>
    <row r="873" ht="12.75">
      <c r="A873" s="34"/>
    </row>
    <row r="874" ht="12.75">
      <c r="A874" s="34"/>
    </row>
    <row r="875" ht="12.75">
      <c r="A875" s="34"/>
    </row>
    <row r="876" ht="12.75">
      <c r="A876" s="34"/>
    </row>
    <row r="877" ht="12.75">
      <c r="A877" s="34"/>
    </row>
    <row r="878" ht="12.75">
      <c r="A878" s="34"/>
    </row>
    <row r="879" ht="12.75">
      <c r="A879" s="34"/>
    </row>
    <row r="880" ht="12.75">
      <c r="A880" s="34"/>
    </row>
    <row r="881" ht="12.75">
      <c r="A881" s="34"/>
    </row>
    <row r="882" ht="12.75">
      <c r="A882" s="34"/>
    </row>
    <row r="883" ht="12.75">
      <c r="A883" s="34"/>
    </row>
    <row r="884" ht="12.75">
      <c r="A884" s="34"/>
    </row>
    <row r="885" ht="12.75">
      <c r="A885" s="34"/>
    </row>
    <row r="886" ht="12.75">
      <c r="A886" s="34"/>
    </row>
    <row r="887" ht="12.75">
      <c r="A887" s="34"/>
    </row>
    <row r="888" ht="12.75">
      <c r="A888" s="34"/>
    </row>
    <row r="889" ht="12.75">
      <c r="A889" s="34"/>
    </row>
    <row r="890" ht="12.75">
      <c r="A890" s="34"/>
    </row>
    <row r="891" ht="12.75">
      <c r="A891" s="34"/>
    </row>
    <row r="892" ht="12.75">
      <c r="A892" s="34"/>
    </row>
    <row r="893" ht="12.75">
      <c r="A893" s="34"/>
    </row>
    <row r="894" ht="12.75">
      <c r="A894" s="34"/>
    </row>
    <row r="895" ht="12.75">
      <c r="A895" s="34"/>
    </row>
    <row r="896" ht="12.75">
      <c r="A896" s="34"/>
    </row>
    <row r="897" ht="12.75">
      <c r="A897" s="34"/>
    </row>
    <row r="898" ht="12.75">
      <c r="A898" s="34"/>
    </row>
    <row r="899" ht="12.75">
      <c r="A899" s="34"/>
    </row>
    <row r="900" ht="12.75">
      <c r="A900" s="34"/>
    </row>
    <row r="901" ht="12.75">
      <c r="A901" s="34"/>
    </row>
    <row r="902" ht="12.75">
      <c r="A902" s="34"/>
    </row>
    <row r="903" ht="12.75">
      <c r="A903" s="34"/>
    </row>
    <row r="904" ht="12.75">
      <c r="A904" s="34"/>
    </row>
    <row r="905" ht="12.75">
      <c r="A905" s="34"/>
    </row>
    <row r="906" ht="12.75">
      <c r="A906" s="34"/>
    </row>
    <row r="907" ht="12.75">
      <c r="A907" s="34"/>
    </row>
    <row r="908" ht="12.75">
      <c r="A908" s="34"/>
    </row>
    <row r="909" ht="12.75">
      <c r="A909" s="34"/>
    </row>
    <row r="910" ht="12.75">
      <c r="A910" s="34"/>
    </row>
    <row r="911" ht="12.75">
      <c r="A911" s="34"/>
    </row>
    <row r="912" ht="12.75">
      <c r="A912" s="34"/>
    </row>
    <row r="913" ht="12.75">
      <c r="A913" s="34"/>
    </row>
    <row r="914" ht="12.75">
      <c r="A914" s="34"/>
    </row>
    <row r="915" ht="12.75">
      <c r="A915" s="34"/>
    </row>
    <row r="916" ht="12.75">
      <c r="A916" s="34"/>
    </row>
    <row r="917" ht="12.75">
      <c r="A917" s="34"/>
    </row>
    <row r="918" ht="12.75">
      <c r="A918" s="34"/>
    </row>
    <row r="919" ht="12.75">
      <c r="A919" s="34"/>
    </row>
    <row r="920" ht="12.75">
      <c r="A920" s="34"/>
    </row>
    <row r="921" ht="12.75">
      <c r="A921" s="34"/>
    </row>
    <row r="922" ht="12.75">
      <c r="A922" s="34"/>
    </row>
    <row r="923" ht="12.75">
      <c r="A923" s="34"/>
    </row>
    <row r="924" ht="12.75">
      <c r="A924" s="34"/>
    </row>
    <row r="925" ht="12.75">
      <c r="A925" s="34"/>
    </row>
    <row r="926" ht="12.75">
      <c r="A926" s="34"/>
    </row>
    <row r="927" ht="12.75">
      <c r="A927" s="34"/>
    </row>
    <row r="928" ht="12.75">
      <c r="A928" s="34"/>
    </row>
    <row r="929" ht="12.75">
      <c r="A929" s="34"/>
    </row>
    <row r="930" ht="12.75">
      <c r="A930" s="34"/>
    </row>
    <row r="931" ht="12.75">
      <c r="A931" s="34"/>
    </row>
    <row r="932" ht="12.75">
      <c r="A932" s="34"/>
    </row>
    <row r="933" ht="12.75">
      <c r="A933" s="34"/>
    </row>
    <row r="934" ht="12.75">
      <c r="A934" s="34"/>
    </row>
    <row r="935" ht="12.75">
      <c r="A935" s="34"/>
    </row>
    <row r="936" ht="12.75">
      <c r="A936" s="34"/>
    </row>
    <row r="937" ht="12.75">
      <c r="A937" s="34"/>
    </row>
    <row r="938" ht="12.75">
      <c r="A938" s="34"/>
    </row>
    <row r="939" ht="12.75">
      <c r="A939" s="34"/>
    </row>
    <row r="940" ht="12.75">
      <c r="A940" s="34"/>
    </row>
    <row r="941" ht="12.75">
      <c r="A941" s="34"/>
    </row>
    <row r="942" ht="12.75">
      <c r="A942" s="34"/>
    </row>
    <row r="943" ht="12.75">
      <c r="A943" s="34"/>
    </row>
    <row r="944" ht="12.75">
      <c r="A944" s="34"/>
    </row>
    <row r="945" ht="12.75">
      <c r="A945" s="34"/>
    </row>
    <row r="946" ht="12.75">
      <c r="A946" s="34"/>
    </row>
    <row r="947" ht="12.75">
      <c r="A947" s="34"/>
    </row>
    <row r="948" ht="12.75">
      <c r="A948" s="34"/>
    </row>
    <row r="949" ht="12.75">
      <c r="A949" s="34"/>
    </row>
    <row r="950" ht="12.75">
      <c r="A950" s="34"/>
    </row>
    <row r="951" ht="12.75">
      <c r="A951" s="34"/>
    </row>
    <row r="952" ht="12.75">
      <c r="A952" s="34"/>
    </row>
    <row r="953" ht="12.75">
      <c r="A953" s="34"/>
    </row>
    <row r="954" ht="12.75">
      <c r="A954" s="34"/>
    </row>
    <row r="955" ht="12.75">
      <c r="A955" s="34"/>
    </row>
    <row r="956" ht="12.75">
      <c r="A956" s="34"/>
    </row>
    <row r="957" ht="12.75">
      <c r="A957" s="34"/>
    </row>
    <row r="958" ht="12.75">
      <c r="A958" s="34"/>
    </row>
    <row r="959" ht="12.75">
      <c r="A959" s="34"/>
    </row>
    <row r="960" ht="12.75">
      <c r="A960" s="34"/>
    </row>
    <row r="961" ht="12.75">
      <c r="A961" s="34"/>
    </row>
    <row r="962" ht="12.75">
      <c r="A962" s="34"/>
    </row>
    <row r="963" ht="12.75">
      <c r="A963" s="34"/>
    </row>
    <row r="964" ht="12.75">
      <c r="A964" s="34"/>
    </row>
    <row r="965" ht="12.75">
      <c r="A965" s="34"/>
    </row>
    <row r="966" ht="12.75">
      <c r="A966" s="34"/>
    </row>
    <row r="967" ht="12.75">
      <c r="A967" s="34"/>
    </row>
    <row r="968" ht="12.75">
      <c r="A968" s="34"/>
    </row>
    <row r="969" ht="12.75">
      <c r="A969" s="34"/>
    </row>
    <row r="970" ht="12.75">
      <c r="A970" s="34"/>
    </row>
    <row r="971" ht="12.75">
      <c r="A971" s="34"/>
    </row>
    <row r="972" ht="12.75">
      <c r="A972" s="34"/>
    </row>
    <row r="973" ht="12.75">
      <c r="A973" s="34"/>
    </row>
    <row r="974" ht="12.75">
      <c r="A974" s="34"/>
    </row>
    <row r="975" ht="12.75">
      <c r="A975" s="34"/>
    </row>
    <row r="976" ht="12.75">
      <c r="A976" s="34"/>
    </row>
    <row r="977" ht="12.75">
      <c r="A977" s="34"/>
    </row>
    <row r="978" ht="12.75">
      <c r="A978" s="34"/>
    </row>
    <row r="979" ht="12.75">
      <c r="A979" s="34"/>
    </row>
    <row r="980" ht="12.75">
      <c r="A980" s="34"/>
    </row>
    <row r="981" ht="12.75">
      <c r="A981" s="34"/>
    </row>
    <row r="982" ht="12.75">
      <c r="A982" s="34"/>
    </row>
    <row r="983" ht="12.75">
      <c r="A983" s="34"/>
    </row>
    <row r="984" ht="12.75">
      <c r="A984" s="34"/>
    </row>
    <row r="985" ht="12.75">
      <c r="A985" s="34"/>
    </row>
    <row r="986" ht="12.75">
      <c r="A986" s="34"/>
    </row>
    <row r="987" ht="12.75">
      <c r="A987" s="34"/>
    </row>
    <row r="988" ht="12.75">
      <c r="A988" s="34"/>
    </row>
    <row r="989" ht="12.75">
      <c r="A989" s="34"/>
    </row>
    <row r="990" ht="12.75">
      <c r="A990" s="34"/>
    </row>
    <row r="991" ht="12.75">
      <c r="A991" s="34"/>
    </row>
    <row r="992" ht="12.75">
      <c r="A992" s="34"/>
    </row>
    <row r="993" ht="12.75">
      <c r="A993" s="34"/>
    </row>
    <row r="994" ht="12.75">
      <c r="A994" s="34"/>
    </row>
    <row r="995" ht="12.75">
      <c r="A995" s="34"/>
    </row>
    <row r="996" ht="12.75">
      <c r="A996" s="34"/>
    </row>
    <row r="997" ht="12.75">
      <c r="A997" s="34"/>
    </row>
    <row r="998" ht="12.75">
      <c r="A998" s="34"/>
    </row>
    <row r="999" ht="12.75">
      <c r="A999" s="34"/>
    </row>
    <row r="1000" ht="12.75">
      <c r="A1000" s="34"/>
    </row>
    <row r="1001" ht="12.75">
      <c r="A1001" s="34"/>
    </row>
    <row r="1002" ht="12.75">
      <c r="A1002" s="34"/>
    </row>
    <row r="1003" ht="12.75">
      <c r="A1003" s="34"/>
    </row>
    <row r="1004" ht="12.75">
      <c r="A1004" s="34"/>
    </row>
    <row r="1005" ht="12.75">
      <c r="A1005" s="34"/>
    </row>
    <row r="1006" ht="12.75">
      <c r="A1006" s="34"/>
    </row>
    <row r="1007" ht="12.75">
      <c r="A1007" s="34"/>
    </row>
    <row r="1008" ht="12.75">
      <c r="A1008" s="34"/>
    </row>
    <row r="1009" ht="12.75">
      <c r="A1009" s="34"/>
    </row>
    <row r="1010" ht="12.75">
      <c r="A1010" s="34"/>
    </row>
    <row r="1011" ht="12.75">
      <c r="A1011" s="34"/>
    </row>
    <row r="1012" ht="12.75">
      <c r="A1012" s="34"/>
    </row>
    <row r="1013" ht="12.75">
      <c r="A1013" s="34"/>
    </row>
    <row r="1014" ht="12.75">
      <c r="A1014" s="34"/>
    </row>
    <row r="1015" ht="12.75">
      <c r="A1015" s="34"/>
    </row>
    <row r="1016" ht="12.75">
      <c r="A1016" s="34"/>
    </row>
    <row r="1017" ht="12.75">
      <c r="A1017" s="34"/>
    </row>
    <row r="1018" ht="12.75">
      <c r="A1018" s="34"/>
    </row>
    <row r="1019" ht="12.75">
      <c r="A1019" s="34"/>
    </row>
    <row r="1020" ht="12.75">
      <c r="A1020" s="34"/>
    </row>
    <row r="1021" ht="12.75">
      <c r="A1021" s="34"/>
    </row>
    <row r="1022" ht="12.75">
      <c r="A1022" s="34"/>
    </row>
    <row r="1023" ht="12.75">
      <c r="A1023" s="34"/>
    </row>
    <row r="1024" ht="12.75">
      <c r="A1024" s="34"/>
    </row>
    <row r="1025" ht="12.75">
      <c r="A1025" s="34"/>
    </row>
    <row r="1026" ht="12.75">
      <c r="A1026" s="34"/>
    </row>
    <row r="1027" ht="12.75">
      <c r="A1027" s="34"/>
    </row>
    <row r="1028" ht="12.75">
      <c r="A1028" s="34"/>
    </row>
    <row r="1029" ht="12.75">
      <c r="A1029" s="34"/>
    </row>
    <row r="1030" ht="12.75">
      <c r="A1030" s="34"/>
    </row>
    <row r="1031" ht="12.75">
      <c r="A1031" s="34"/>
    </row>
    <row r="1032" ht="12.75">
      <c r="A1032" s="34"/>
    </row>
    <row r="1033" ht="12.75">
      <c r="A1033" s="34"/>
    </row>
    <row r="1034" ht="12.75">
      <c r="A1034" s="34"/>
    </row>
    <row r="1035" ht="12.75">
      <c r="A1035" s="34"/>
    </row>
    <row r="1036" ht="12.75">
      <c r="A1036" s="34"/>
    </row>
    <row r="1037" ht="12.75">
      <c r="A1037" s="34"/>
    </row>
    <row r="1038" ht="12.75">
      <c r="A1038" s="34"/>
    </row>
    <row r="1039" ht="12.75">
      <c r="A1039" s="34"/>
    </row>
    <row r="1040" ht="12.75">
      <c r="A1040" s="34"/>
    </row>
    <row r="1041" ht="12.75">
      <c r="A1041" s="34"/>
    </row>
    <row r="1042" ht="12.75">
      <c r="A1042" s="34"/>
    </row>
    <row r="1043" ht="12.75">
      <c r="A1043" s="34"/>
    </row>
    <row r="1044" ht="12.75">
      <c r="A1044" s="34"/>
    </row>
    <row r="1045" ht="12.75">
      <c r="A1045" s="34"/>
    </row>
    <row r="1046" ht="12.75">
      <c r="A1046" s="34"/>
    </row>
    <row r="1047" ht="12.75">
      <c r="A1047" s="34"/>
    </row>
    <row r="1048" ht="12.75">
      <c r="A1048" s="34"/>
    </row>
    <row r="1049" ht="12.75">
      <c r="A1049" s="34"/>
    </row>
    <row r="1050" ht="12.75">
      <c r="A1050" s="34"/>
    </row>
    <row r="1051" ht="12.75">
      <c r="A1051" s="34"/>
    </row>
    <row r="1052" ht="12.75">
      <c r="A1052" s="34"/>
    </row>
    <row r="1053" ht="12.75">
      <c r="A1053" s="34"/>
    </row>
    <row r="1054" ht="12.75">
      <c r="A1054" s="34"/>
    </row>
    <row r="1055" ht="12.75">
      <c r="A1055" s="34"/>
    </row>
    <row r="1056" ht="12.75">
      <c r="A1056" s="34"/>
    </row>
    <row r="1057" ht="12.75">
      <c r="A1057" s="34"/>
    </row>
    <row r="1058" ht="12.75">
      <c r="A1058" s="34"/>
    </row>
    <row r="1059" ht="12.75">
      <c r="A1059" s="34"/>
    </row>
    <row r="1060" ht="12.75">
      <c r="A1060" s="34"/>
    </row>
    <row r="1061" ht="12.75">
      <c r="A1061" s="34"/>
    </row>
    <row r="1062" ht="12.75">
      <c r="A1062" s="34"/>
    </row>
    <row r="1063" ht="12.75">
      <c r="A1063" s="34"/>
    </row>
    <row r="1064" ht="12.75">
      <c r="A1064" s="34"/>
    </row>
    <row r="1065" ht="12.75">
      <c r="A1065" s="34"/>
    </row>
    <row r="1066" ht="12.75">
      <c r="A1066" s="34"/>
    </row>
    <row r="1067" ht="12.75">
      <c r="A1067" s="34"/>
    </row>
    <row r="1068" ht="12.75">
      <c r="A1068" s="34"/>
    </row>
    <row r="1069" ht="12.75">
      <c r="A1069" s="34"/>
    </row>
    <row r="1070" ht="12.75">
      <c r="A1070" s="34"/>
    </row>
    <row r="1071" ht="12.75">
      <c r="A1071" s="34"/>
    </row>
    <row r="1072" ht="12.75">
      <c r="A1072" s="34"/>
    </row>
    <row r="1073" ht="12.75">
      <c r="A1073" s="34"/>
    </row>
    <row r="1074" ht="12.75">
      <c r="A1074" s="34"/>
    </row>
    <row r="1075" ht="12.75">
      <c r="A1075" s="34"/>
    </row>
    <row r="1076" ht="12.75">
      <c r="A1076" s="34"/>
    </row>
    <row r="1077" ht="12.75">
      <c r="A1077" s="34"/>
    </row>
    <row r="1078" ht="12.75">
      <c r="A1078" s="34"/>
    </row>
    <row r="1079" ht="12.75">
      <c r="A1079" s="34"/>
    </row>
    <row r="1080" ht="12.75">
      <c r="A1080" s="34"/>
    </row>
    <row r="1081" ht="12.75">
      <c r="A1081" s="34"/>
    </row>
    <row r="1082" ht="12.75">
      <c r="A1082" s="34"/>
    </row>
    <row r="1083" ht="12.75">
      <c r="A1083" s="34"/>
    </row>
    <row r="1084" ht="12.75">
      <c r="A1084" s="34"/>
    </row>
    <row r="1085" ht="12.75">
      <c r="A1085" s="34"/>
    </row>
    <row r="1086" ht="12.75">
      <c r="A1086" s="34"/>
    </row>
    <row r="1087" ht="12.75">
      <c r="A1087" s="34"/>
    </row>
    <row r="1088" ht="12.75">
      <c r="A1088" s="34"/>
    </row>
    <row r="1089" ht="12.75">
      <c r="A1089" s="34"/>
    </row>
    <row r="1090" ht="12.75">
      <c r="A1090" s="34"/>
    </row>
    <row r="1091" ht="12.75">
      <c r="A1091" s="34"/>
    </row>
    <row r="1092" ht="12.75">
      <c r="A1092" s="34"/>
    </row>
    <row r="1093" ht="12.75">
      <c r="A1093" s="34"/>
    </row>
    <row r="1094" ht="12.75">
      <c r="A1094" s="34"/>
    </row>
    <row r="1095" ht="12.75">
      <c r="A1095" s="34"/>
    </row>
    <row r="1096" ht="12.75">
      <c r="A1096" s="34"/>
    </row>
    <row r="1097" ht="12.75">
      <c r="A1097" s="34"/>
    </row>
    <row r="1098" ht="12.75">
      <c r="A1098" s="34"/>
    </row>
    <row r="1099" ht="12.75">
      <c r="A1099" s="34"/>
    </row>
    <row r="1100" ht="12.75">
      <c r="A1100" s="34"/>
    </row>
    <row r="1101" ht="12.75">
      <c r="A1101" s="34"/>
    </row>
    <row r="1102" ht="12.75">
      <c r="A1102" s="34"/>
    </row>
    <row r="1103" ht="12.75">
      <c r="A1103" s="34"/>
    </row>
    <row r="1104" ht="12.75">
      <c r="A1104" s="34"/>
    </row>
    <row r="1105" ht="12.75">
      <c r="A1105" s="34"/>
    </row>
    <row r="1106" ht="12.75">
      <c r="A1106" s="34"/>
    </row>
    <row r="1107" ht="12.75">
      <c r="A1107" s="34"/>
    </row>
    <row r="1108" ht="12.75">
      <c r="A1108" s="34"/>
    </row>
    <row r="1109" ht="12.75">
      <c r="A1109" s="34"/>
    </row>
    <row r="1110" ht="12.75">
      <c r="A1110" s="34"/>
    </row>
    <row r="1111" ht="12.75">
      <c r="A1111" s="34"/>
    </row>
    <row r="1112" ht="12.75">
      <c r="A1112" s="34"/>
    </row>
    <row r="1113" ht="12.75">
      <c r="A1113" s="34"/>
    </row>
    <row r="1114" ht="12.75">
      <c r="A1114" s="34"/>
    </row>
    <row r="1115" ht="12.75">
      <c r="A1115" s="34"/>
    </row>
    <row r="1116" ht="12.75">
      <c r="A1116" s="34"/>
    </row>
    <row r="1117" ht="12.75">
      <c r="A1117" s="34"/>
    </row>
    <row r="1118" ht="12.75">
      <c r="A1118" s="34"/>
    </row>
    <row r="1119" ht="12.75">
      <c r="A1119" s="34"/>
    </row>
    <row r="1120" ht="12.75">
      <c r="A1120" s="34"/>
    </row>
    <row r="1121" ht="12.75">
      <c r="A1121" s="34"/>
    </row>
    <row r="1122" ht="12.75">
      <c r="A1122" s="34"/>
    </row>
    <row r="1123" ht="12.75">
      <c r="A1123" s="34"/>
    </row>
    <row r="1124" ht="12.75">
      <c r="A1124" s="34"/>
    </row>
    <row r="1125" ht="12.75">
      <c r="A1125" s="34"/>
    </row>
    <row r="1126" ht="12.75">
      <c r="A1126" s="34"/>
    </row>
    <row r="1127" ht="12.75">
      <c r="A1127" s="34"/>
    </row>
    <row r="1128" ht="12.75">
      <c r="A1128" s="34"/>
    </row>
    <row r="1129" ht="12.75">
      <c r="A1129" s="34"/>
    </row>
    <row r="1130" ht="12.75">
      <c r="A1130" s="34"/>
    </row>
    <row r="1131" ht="12.75">
      <c r="A1131" s="34"/>
    </row>
    <row r="1132" ht="12.75">
      <c r="A1132" s="34"/>
    </row>
    <row r="1133" ht="12.75">
      <c r="A1133" s="34"/>
    </row>
    <row r="1134" ht="12.75">
      <c r="A1134" s="34"/>
    </row>
    <row r="1135" ht="12.75">
      <c r="A1135" s="34"/>
    </row>
    <row r="1136" ht="12.75">
      <c r="A1136" s="34"/>
    </row>
    <row r="1137" ht="12.75">
      <c r="A1137" s="34"/>
    </row>
    <row r="1138" ht="12.75">
      <c r="A1138" s="34"/>
    </row>
    <row r="1139" ht="12.75">
      <c r="A1139" s="34"/>
    </row>
    <row r="1140" ht="12.75">
      <c r="A1140" s="34"/>
    </row>
    <row r="1141" ht="12.75">
      <c r="A1141" s="34"/>
    </row>
    <row r="1142" ht="12.75">
      <c r="A1142" s="34"/>
    </row>
    <row r="1143" ht="12.75">
      <c r="A1143" s="34"/>
    </row>
    <row r="1144" ht="12.75">
      <c r="A1144" s="34"/>
    </row>
    <row r="1145" ht="12.75">
      <c r="A1145" s="34"/>
    </row>
    <row r="1146" ht="12.75">
      <c r="A1146" s="34"/>
    </row>
    <row r="1147" ht="12.75">
      <c r="A1147" s="34"/>
    </row>
    <row r="1148" ht="12.75">
      <c r="A1148" s="34"/>
    </row>
    <row r="1149" ht="12.75">
      <c r="A1149" s="34"/>
    </row>
    <row r="1150" ht="12.75">
      <c r="A1150" s="34"/>
    </row>
    <row r="1151" ht="12.75">
      <c r="A1151" s="34"/>
    </row>
    <row r="1152" ht="12.75">
      <c r="A1152" s="34"/>
    </row>
    <row r="1153" ht="12.75">
      <c r="A1153" s="34"/>
    </row>
    <row r="1154" ht="12.75">
      <c r="A1154" s="34"/>
    </row>
    <row r="1155" ht="12.75">
      <c r="A1155" s="34"/>
    </row>
    <row r="1156" ht="12.75">
      <c r="A1156" s="34"/>
    </row>
    <row r="1157" ht="12.75">
      <c r="A1157" s="34"/>
    </row>
    <row r="1158" ht="12.75">
      <c r="A1158" s="34"/>
    </row>
    <row r="1159" ht="12.75">
      <c r="A1159" s="34"/>
    </row>
    <row r="1160" ht="12.75">
      <c r="A1160" s="34"/>
    </row>
    <row r="1161" ht="12.75">
      <c r="A1161" s="34"/>
    </row>
    <row r="1162" ht="12.75">
      <c r="A1162" s="34"/>
    </row>
    <row r="1163" ht="12.75">
      <c r="A1163" s="34"/>
    </row>
    <row r="1164" ht="12.75">
      <c r="A1164" s="34"/>
    </row>
    <row r="1165" ht="12.75">
      <c r="A1165" s="34"/>
    </row>
    <row r="1166" ht="12.75">
      <c r="A1166" s="34"/>
    </row>
    <row r="1167" ht="12.75">
      <c r="A1167" s="34"/>
    </row>
    <row r="1168" ht="12.75">
      <c r="A1168" s="34"/>
    </row>
    <row r="1169" ht="12.75">
      <c r="A1169" s="34"/>
    </row>
    <row r="1170" ht="12.75">
      <c r="A1170" s="34"/>
    </row>
    <row r="1171" ht="12.75">
      <c r="A1171" s="34"/>
    </row>
    <row r="1172" ht="12.75">
      <c r="A1172" s="34"/>
    </row>
    <row r="1173" ht="12.75">
      <c r="A1173" s="34"/>
    </row>
    <row r="1174" ht="12.75">
      <c r="A1174" s="34"/>
    </row>
    <row r="1175" ht="12.75">
      <c r="A1175" s="34"/>
    </row>
    <row r="1176" ht="12.75">
      <c r="A1176" s="34"/>
    </row>
    <row r="1177" ht="12.75">
      <c r="A1177" s="34"/>
    </row>
    <row r="1178" ht="12.75">
      <c r="A1178" s="34"/>
    </row>
    <row r="1179" ht="12.75">
      <c r="A1179" s="34"/>
    </row>
    <row r="1180" ht="12.75">
      <c r="A1180" s="34"/>
    </row>
    <row r="1181" ht="12.75">
      <c r="A1181" s="34"/>
    </row>
    <row r="1182" ht="12.75">
      <c r="A1182" s="34"/>
    </row>
    <row r="1183" ht="12.75">
      <c r="A1183" s="34"/>
    </row>
    <row r="1184" ht="12.75">
      <c r="A1184" s="34"/>
    </row>
    <row r="1185" ht="12.75">
      <c r="A1185" s="34"/>
    </row>
    <row r="1186" ht="12.75">
      <c r="A1186" s="34"/>
    </row>
    <row r="1187" ht="12.75">
      <c r="A1187" s="34"/>
    </row>
    <row r="1188" ht="12.75">
      <c r="A1188" s="34"/>
    </row>
    <row r="1189" ht="12.75">
      <c r="A1189" s="34"/>
    </row>
    <row r="1190" ht="12.75">
      <c r="A1190" s="34"/>
    </row>
    <row r="1191" ht="12.75">
      <c r="A1191" s="34"/>
    </row>
    <row r="1192" ht="12.75">
      <c r="A1192" s="34"/>
    </row>
    <row r="1193" ht="12.75">
      <c r="A1193" s="34"/>
    </row>
    <row r="1194" ht="12.75">
      <c r="A1194" s="34"/>
    </row>
    <row r="1195" ht="12.75">
      <c r="A1195" s="34"/>
    </row>
    <row r="1196" ht="12.75">
      <c r="A1196" s="34"/>
    </row>
    <row r="1197" ht="12.75">
      <c r="A1197" s="34"/>
    </row>
    <row r="1198" ht="12.75">
      <c r="A1198" s="34"/>
    </row>
    <row r="1199" ht="12.75">
      <c r="A1199" s="34"/>
    </row>
    <row r="1200" ht="12.75">
      <c r="A1200" s="34"/>
    </row>
    <row r="1201" ht="12.75">
      <c r="A1201" s="34"/>
    </row>
    <row r="1202" ht="12.75">
      <c r="A1202" s="34"/>
    </row>
    <row r="1203" ht="12.75">
      <c r="A1203" s="34"/>
    </row>
    <row r="1204" ht="12.75">
      <c r="A1204" s="34"/>
    </row>
  </sheetData>
  <mergeCells count="27">
    <mergeCell ref="G114:G115"/>
    <mergeCell ref="G80:G84"/>
    <mergeCell ref="G86:G87"/>
    <mergeCell ref="G91:G92"/>
    <mergeCell ref="G99:G100"/>
    <mergeCell ref="G7:G10"/>
    <mergeCell ref="G27:G28"/>
    <mergeCell ref="G30:G34"/>
    <mergeCell ref="G49:G50"/>
    <mergeCell ref="G123:G124"/>
    <mergeCell ref="G126:G127"/>
    <mergeCell ref="G134:G135"/>
    <mergeCell ref="G155:G164"/>
    <mergeCell ref="G165:G166"/>
    <mergeCell ref="G167:G170"/>
    <mergeCell ref="G174:G175"/>
    <mergeCell ref="G176:G177"/>
    <mergeCell ref="G178:G179"/>
    <mergeCell ref="G182:G183"/>
    <mergeCell ref="G186:G188"/>
    <mergeCell ref="G193:G194"/>
    <mergeCell ref="B211:G211"/>
    <mergeCell ref="G219:G222"/>
    <mergeCell ref="G195:G196"/>
    <mergeCell ref="G197:G198"/>
    <mergeCell ref="G199:G200"/>
    <mergeCell ref="G201:G204"/>
  </mergeCells>
  <printOptions gridLines="1" horizontalCentered="1"/>
  <pageMargins left="0.31496062992125984" right="0.5118110236220472" top="0.89" bottom="0.61" header="0.6" footer="0.13"/>
  <pageSetup horizontalDpi="600" verticalDpi="600" orientation="landscape" paperSize="9" scale="90" r:id="rId1"/>
  <headerFooter alignWithMargins="0">
    <oddHeader>&amp;Lv Kč&amp;C&amp;"Arial CE,Tučné"&amp;11 Plnění příjmů k 31. 12. 2006&amp;R&amp;"Arial CE,Tučné"&amp;11Příloha č. 1</oddHeader>
    <oddFooter>&amp;C&amp;P</oddFooter>
  </headerFooter>
</worksheet>
</file>

<file path=xl/worksheets/sheet20.xml><?xml version="1.0" encoding="utf-8"?>
<worksheet xmlns="http://schemas.openxmlformats.org/spreadsheetml/2006/main" xmlns:r="http://schemas.openxmlformats.org/officeDocument/2006/relationships">
  <dimension ref="A1:H43"/>
  <sheetViews>
    <sheetView workbookViewId="0" topLeftCell="A1">
      <selection activeCell="C36" sqref="C36"/>
    </sheetView>
  </sheetViews>
  <sheetFormatPr defaultColWidth="9.00390625" defaultRowHeight="12.75"/>
  <cols>
    <col min="1" max="1" width="16.75390625" style="736" customWidth="1"/>
    <col min="2" max="2" width="9.125" style="736" customWidth="1"/>
    <col min="3" max="3" width="55.75390625" style="736" customWidth="1"/>
    <col min="4" max="4" width="16.25390625" style="736" customWidth="1"/>
    <col min="5" max="6" width="15.625" style="736" customWidth="1"/>
    <col min="7" max="7" width="17.00390625" style="736" customWidth="1"/>
    <col min="8" max="16384" width="9.125" style="736" customWidth="1"/>
  </cols>
  <sheetData>
    <row r="1" spans="3:6" ht="12.75">
      <c r="C1" s="737"/>
      <c r="D1" s="737"/>
      <c r="F1" s="592" t="s">
        <v>198</v>
      </c>
    </row>
    <row r="2" spans="3:4" ht="12.75">
      <c r="C2" s="690"/>
      <c r="D2" s="692"/>
    </row>
    <row r="3" spans="1:4" ht="12.75">
      <c r="A3" s="688" t="s">
        <v>577</v>
      </c>
      <c r="D3" s="692"/>
    </row>
    <row r="4" spans="1:4" ht="12.75">
      <c r="A4" s="688" t="s">
        <v>578</v>
      </c>
      <c r="D4" s="688"/>
    </row>
    <row r="5" spans="1:4" ht="12.75">
      <c r="A5" s="688" t="s">
        <v>600</v>
      </c>
      <c r="D5" s="688"/>
    </row>
    <row r="6" spans="3:4" ht="12.75">
      <c r="C6" s="688"/>
      <c r="D6" s="688"/>
    </row>
    <row r="7" spans="1:8" ht="14.25">
      <c r="A7" s="826" t="s">
        <v>539</v>
      </c>
      <c r="B7" s="826"/>
      <c r="C7" s="826"/>
      <c r="D7" s="826"/>
      <c r="E7" s="826"/>
      <c r="F7" s="826"/>
      <c r="G7" s="826"/>
      <c r="H7" s="661"/>
    </row>
    <row r="8" spans="1:7" ht="12.75">
      <c r="A8" s="813" t="s">
        <v>601</v>
      </c>
      <c r="B8" s="826"/>
      <c r="C8" s="826"/>
      <c r="D8" s="826"/>
      <c r="E8" s="826"/>
      <c r="F8" s="826"/>
      <c r="G8" s="826"/>
    </row>
    <row r="9" spans="3:6" ht="12.75">
      <c r="C9" s="826"/>
      <c r="D9" s="826"/>
      <c r="E9" s="826"/>
      <c r="F9" s="826"/>
    </row>
    <row r="10" spans="6:7" ht="13.5" thickBot="1">
      <c r="F10" s="738"/>
      <c r="G10" s="694" t="s">
        <v>100</v>
      </c>
    </row>
    <row r="11" spans="1:7" ht="64.5" thickBot="1">
      <c r="A11" s="695" t="s">
        <v>202</v>
      </c>
      <c r="B11" s="695" t="s">
        <v>203</v>
      </c>
      <c r="C11" s="700" t="s">
        <v>109</v>
      </c>
      <c r="D11" s="739" t="s">
        <v>579</v>
      </c>
      <c r="E11" s="701" t="s">
        <v>580</v>
      </c>
      <c r="F11" s="701" t="s">
        <v>581</v>
      </c>
      <c r="G11" s="701" t="s">
        <v>582</v>
      </c>
    </row>
    <row r="12" spans="1:7" ht="13.5" thickBot="1">
      <c r="A12" s="704" t="s">
        <v>208</v>
      </c>
      <c r="B12" s="704" t="s">
        <v>209</v>
      </c>
      <c r="C12" s="706" t="s">
        <v>210</v>
      </c>
      <c r="D12" s="706">
        <v>1</v>
      </c>
      <c r="E12" s="706">
        <v>2</v>
      </c>
      <c r="F12" s="706">
        <v>3</v>
      </c>
      <c r="G12" s="704">
        <v>4</v>
      </c>
    </row>
    <row r="13" spans="1:7" ht="13.5" thickBot="1">
      <c r="A13" s="740"/>
      <c r="B13" s="706"/>
      <c r="C13" s="724" t="s">
        <v>583</v>
      </c>
      <c r="D13" s="741">
        <f>SUM(D15:D20)</f>
        <v>5181243</v>
      </c>
      <c r="E13" s="741">
        <f>SUM(E15:E20)</f>
        <v>0</v>
      </c>
      <c r="F13" s="741">
        <f>SUM(F15:F20)</f>
        <v>2182641.6</v>
      </c>
      <c r="G13" s="741">
        <f>SUM(G15:G20)</f>
        <v>-2182641.6</v>
      </c>
    </row>
    <row r="14" spans="1:7" ht="12.75">
      <c r="A14" s="742"/>
      <c r="B14" s="743"/>
      <c r="C14" s="744" t="s">
        <v>584</v>
      </c>
      <c r="D14" s="745"/>
      <c r="E14" s="746"/>
      <c r="F14" s="746"/>
      <c r="G14" s="746"/>
    </row>
    <row r="15" spans="1:7" ht="12.75">
      <c r="A15" s="742"/>
      <c r="B15" s="743">
        <v>17453</v>
      </c>
      <c r="C15" s="747" t="s">
        <v>585</v>
      </c>
      <c r="D15" s="745">
        <v>266497</v>
      </c>
      <c r="E15" s="746">
        <v>0</v>
      </c>
      <c r="F15" s="746">
        <v>266497</v>
      </c>
      <c r="G15" s="746">
        <f aca="true" t="shared" si="0" ref="G15:G20">E15-F15</f>
        <v>-266497</v>
      </c>
    </row>
    <row r="16" spans="1:7" ht="12.75">
      <c r="A16" s="742"/>
      <c r="B16" s="743">
        <v>800</v>
      </c>
      <c r="C16" s="747" t="s">
        <v>585</v>
      </c>
      <c r="D16" s="748">
        <v>106599</v>
      </c>
      <c r="E16" s="746">
        <v>0</v>
      </c>
      <c r="F16" s="746">
        <v>106599</v>
      </c>
      <c r="G16" s="746">
        <f t="shared" si="0"/>
        <v>-106599</v>
      </c>
    </row>
    <row r="17" spans="1:7" ht="12" customHeight="1">
      <c r="A17" s="742"/>
      <c r="B17" s="743">
        <v>17453</v>
      </c>
      <c r="C17" s="742" t="s">
        <v>586</v>
      </c>
      <c r="D17" s="748">
        <v>2646229</v>
      </c>
      <c r="E17" s="746">
        <v>0</v>
      </c>
      <c r="F17" s="746">
        <v>906847.5</v>
      </c>
      <c r="G17" s="746">
        <f t="shared" si="0"/>
        <v>-906847.5</v>
      </c>
    </row>
    <row r="18" spans="1:7" ht="12" customHeight="1">
      <c r="A18" s="742"/>
      <c r="B18" s="743">
        <v>800</v>
      </c>
      <c r="C18" s="742" t="s">
        <v>586</v>
      </c>
      <c r="D18" s="748">
        <v>529246</v>
      </c>
      <c r="E18" s="746">
        <v>0</v>
      </c>
      <c r="F18" s="746">
        <v>181369.5</v>
      </c>
      <c r="G18" s="746">
        <f t="shared" si="0"/>
        <v>-181369.5</v>
      </c>
    </row>
    <row r="19" spans="1:7" ht="12" customHeight="1">
      <c r="A19" s="742"/>
      <c r="B19" s="743">
        <v>17453</v>
      </c>
      <c r="C19" s="742" t="s">
        <v>587</v>
      </c>
      <c r="D19" s="748">
        <v>1360560</v>
      </c>
      <c r="E19" s="746">
        <v>0</v>
      </c>
      <c r="F19" s="746">
        <v>602328.6</v>
      </c>
      <c r="G19" s="746">
        <f t="shared" si="0"/>
        <v>-602328.6</v>
      </c>
    </row>
    <row r="20" spans="1:8" ht="12" customHeight="1" thickBot="1">
      <c r="A20" s="749"/>
      <c r="B20" s="750">
        <v>800</v>
      </c>
      <c r="C20" s="742" t="s">
        <v>587</v>
      </c>
      <c r="D20" s="751">
        <v>272112</v>
      </c>
      <c r="E20" s="752">
        <v>0</v>
      </c>
      <c r="F20" s="752">
        <v>119000</v>
      </c>
      <c r="G20" s="752">
        <f t="shared" si="0"/>
        <v>-119000</v>
      </c>
      <c r="H20" s="753"/>
    </row>
    <row r="21" spans="1:7" ht="13.5" thickBot="1">
      <c r="A21" s="740"/>
      <c r="B21" s="750"/>
      <c r="C21" s="754" t="s">
        <v>588</v>
      </c>
      <c r="D21" s="751">
        <f>SUM(D23:D25)</f>
        <v>0</v>
      </c>
      <c r="E21" s="751">
        <f>SUM(E23:E25)</f>
        <v>0</v>
      </c>
      <c r="F21" s="751">
        <f>SUM(F23:F25)</f>
        <v>0</v>
      </c>
      <c r="G21" s="751">
        <f>SUM(G23:G25)</f>
        <v>0</v>
      </c>
    </row>
    <row r="22" spans="1:7" ht="12" customHeight="1">
      <c r="A22" s="742"/>
      <c r="B22" s="743"/>
      <c r="C22" s="744" t="s">
        <v>584</v>
      </c>
      <c r="D22" s="748"/>
      <c r="E22" s="746"/>
      <c r="F22" s="746"/>
      <c r="G22" s="746"/>
    </row>
    <row r="23" spans="1:7" ht="12" customHeight="1">
      <c r="A23" s="742"/>
      <c r="B23" s="755"/>
      <c r="C23" s="747" t="s">
        <v>589</v>
      </c>
      <c r="D23" s="748"/>
      <c r="E23" s="746"/>
      <c r="F23" s="746"/>
      <c r="G23" s="746">
        <f>E23-F23</f>
        <v>0</v>
      </c>
    </row>
    <row r="24" spans="1:7" ht="12" customHeight="1">
      <c r="A24" s="742"/>
      <c r="B24" s="756"/>
      <c r="C24" s="747"/>
      <c r="D24" s="748"/>
      <c r="E24" s="746"/>
      <c r="F24" s="746"/>
      <c r="G24" s="746">
        <f>E24-F24</f>
        <v>0</v>
      </c>
    </row>
    <row r="25" spans="1:7" ht="13.5" thickBot="1">
      <c r="A25" s="749"/>
      <c r="B25" s="750"/>
      <c r="C25" s="757"/>
      <c r="D25" s="751"/>
      <c r="E25" s="752"/>
      <c r="F25" s="752"/>
      <c r="G25" s="752">
        <f>E25-F25</f>
        <v>0</v>
      </c>
    </row>
    <row r="26" spans="1:7" ht="13.5" thickBot="1">
      <c r="A26" s="749"/>
      <c r="B26" s="706"/>
      <c r="C26" s="758" t="s">
        <v>590</v>
      </c>
      <c r="D26" s="759">
        <f>D13+D21</f>
        <v>5181243</v>
      </c>
      <c r="E26" s="759">
        <f>E13+E21</f>
        <v>0</v>
      </c>
      <c r="F26" s="759">
        <f>F13+F21</f>
        <v>2182641.6</v>
      </c>
      <c r="G26" s="759">
        <f>G13+G21</f>
        <v>-2182641.6</v>
      </c>
    </row>
    <row r="27" spans="2:6" ht="12" customHeight="1">
      <c r="B27" s="760"/>
      <c r="C27" s="526"/>
      <c r="D27" s="526"/>
      <c r="E27" s="761"/>
      <c r="F27" s="761"/>
    </row>
    <row r="28" spans="1:6" ht="12.75">
      <c r="A28" s="587" t="s">
        <v>217</v>
      </c>
      <c r="D28" s="587"/>
      <c r="E28" s="762"/>
      <c r="F28" s="762"/>
    </row>
    <row r="29" spans="1:6" ht="13.5">
      <c r="A29" s="729" t="s">
        <v>602</v>
      </c>
      <c r="D29" s="729"/>
      <c r="E29" s="762"/>
      <c r="F29" s="762"/>
    </row>
    <row r="30" spans="1:6" ht="13.5">
      <c r="A30" s="587" t="s">
        <v>218</v>
      </c>
      <c r="D30" s="729"/>
      <c r="E30" s="762"/>
      <c r="F30" s="762"/>
    </row>
    <row r="31" spans="1:6" ht="12.75">
      <c r="A31" s="588" t="s">
        <v>591</v>
      </c>
      <c r="D31" s="587"/>
      <c r="E31" s="762"/>
      <c r="F31" s="762"/>
    </row>
    <row r="32" spans="1:6" ht="12.75">
      <c r="A32" s="588" t="s">
        <v>592</v>
      </c>
      <c r="D32" s="587"/>
      <c r="E32" s="762"/>
      <c r="F32" s="762"/>
    </row>
    <row r="33" spans="1:6" ht="12.75">
      <c r="A33" s="587" t="s">
        <v>593</v>
      </c>
      <c r="D33" s="763"/>
      <c r="E33" s="762"/>
      <c r="F33" s="762"/>
    </row>
    <row r="34" spans="1:6" ht="12.75">
      <c r="A34" s="587" t="s">
        <v>594</v>
      </c>
      <c r="D34" s="763"/>
      <c r="E34" s="762"/>
      <c r="F34" s="762"/>
    </row>
    <row r="35" spans="1:6" ht="12.75">
      <c r="A35" s="587" t="s">
        <v>595</v>
      </c>
      <c r="D35" s="763"/>
      <c r="E35" s="762"/>
      <c r="F35" s="762"/>
    </row>
    <row r="36" spans="3:6" ht="12.75">
      <c r="C36" s="587"/>
      <c r="D36" s="587"/>
      <c r="E36" s="762"/>
      <c r="F36" s="762"/>
    </row>
    <row r="37" spans="1:6" ht="12.75">
      <c r="A37" s="587" t="s">
        <v>596</v>
      </c>
      <c r="C37" s="587"/>
      <c r="D37" s="587"/>
      <c r="E37" s="762"/>
      <c r="F37" s="762"/>
    </row>
    <row r="38" spans="1:6" ht="12.75">
      <c r="A38" s="587" t="s">
        <v>597</v>
      </c>
      <c r="C38" s="587"/>
      <c r="D38" s="587"/>
      <c r="E38" s="762"/>
      <c r="F38" s="762"/>
    </row>
    <row r="39" spans="5:6" ht="12.75">
      <c r="E39" s="762"/>
      <c r="F39" s="762"/>
    </row>
    <row r="40" spans="1:7" ht="12.75">
      <c r="A40" s="688" t="s">
        <v>598</v>
      </c>
      <c r="C40" s="403"/>
      <c r="D40" s="403"/>
      <c r="E40" s="762"/>
      <c r="F40" s="688" t="s">
        <v>535</v>
      </c>
      <c r="G40" s="736" t="s">
        <v>550</v>
      </c>
    </row>
    <row r="41" spans="1:7" ht="12.75">
      <c r="A41" s="688" t="s">
        <v>599</v>
      </c>
      <c r="C41" s="764"/>
      <c r="D41" s="764"/>
      <c r="E41" s="762"/>
      <c r="F41" s="688" t="s">
        <v>537</v>
      </c>
      <c r="G41" s="765">
        <v>39113</v>
      </c>
    </row>
    <row r="42" spans="4:5" ht="12.75">
      <c r="D42" s="688"/>
      <c r="E42" s="688"/>
    </row>
    <row r="43" spans="4:5" ht="12.75">
      <c r="D43" s="688"/>
      <c r="E43" s="688"/>
    </row>
  </sheetData>
  <mergeCells count="3">
    <mergeCell ref="C9:F9"/>
    <mergeCell ref="A7:G7"/>
    <mergeCell ref="A8:G8"/>
  </mergeCells>
  <printOptions horizontalCentered="1"/>
  <pageMargins left="0.6299212598425197" right="0.2362204724409449" top="1.04" bottom="0.34" header="0.53" footer="0.49"/>
  <pageSetup horizontalDpi="600" verticalDpi="600" orientation="landscape" paperSize="9" scale="80" r:id="rId1"/>
  <headerFooter alignWithMargins="0">
    <oddHeader>&amp;R&amp;"Arial CE,Tučné"&amp;11Příloha č. 8</oddHeader>
    <oddFooter>&amp;C38</oddFooter>
  </headerFooter>
</worksheet>
</file>

<file path=xl/worksheets/sheet21.xml><?xml version="1.0" encoding="utf-8"?>
<worksheet xmlns="http://schemas.openxmlformats.org/spreadsheetml/2006/main" xmlns:r="http://schemas.openxmlformats.org/officeDocument/2006/relationships">
  <dimension ref="A1:G45"/>
  <sheetViews>
    <sheetView workbookViewId="0" topLeftCell="A10">
      <selection activeCell="B21" sqref="B21"/>
    </sheetView>
  </sheetViews>
  <sheetFormatPr defaultColWidth="9.00390625" defaultRowHeight="12.75"/>
  <cols>
    <col min="1" max="1" width="8.125" style="688" customWidth="1"/>
    <col min="2" max="2" width="55.375" style="688" customWidth="1"/>
    <col min="3" max="3" width="17.00390625" style="688" customWidth="1"/>
    <col min="4" max="4" width="17.25390625" style="688" customWidth="1"/>
    <col min="5" max="5" width="17.75390625" style="688" customWidth="1"/>
    <col min="6" max="6" width="17.625" style="688" customWidth="1"/>
    <col min="7" max="7" width="13.375" style="688" customWidth="1"/>
    <col min="8" max="16384" width="9.125" style="688" customWidth="1"/>
  </cols>
  <sheetData>
    <row r="1" spans="1:6" ht="12.75">
      <c r="A1" s="689"/>
      <c r="E1" s="592" t="s">
        <v>603</v>
      </c>
      <c r="F1" s="592"/>
    </row>
    <row r="2" spans="1:3" ht="12.75">
      <c r="A2" s="691"/>
      <c r="B2" s="766"/>
      <c r="C2" s="663"/>
    </row>
    <row r="3" spans="1:3" ht="12.75">
      <c r="A3" s="688" t="s">
        <v>618</v>
      </c>
      <c r="C3" s="692" t="s">
        <v>156</v>
      </c>
    </row>
    <row r="4" spans="1:3" ht="14.25">
      <c r="A4" s="688" t="s">
        <v>619</v>
      </c>
      <c r="C4" s="692" t="s">
        <v>604</v>
      </c>
    </row>
    <row r="5" ht="12.75">
      <c r="A5" s="688" t="s">
        <v>620</v>
      </c>
    </row>
    <row r="7" spans="1:6" ht="14.25">
      <c r="A7" s="827" t="s">
        <v>621</v>
      </c>
      <c r="B7" s="827"/>
      <c r="C7" s="827"/>
      <c r="D7" s="827"/>
      <c r="E7" s="827"/>
      <c r="F7" s="827"/>
    </row>
    <row r="8" spans="1:6" ht="12.75">
      <c r="A8" s="828" t="s">
        <v>622</v>
      </c>
      <c r="B8" s="829"/>
      <c r="C8" s="829"/>
      <c r="D8" s="829"/>
      <c r="E8" s="829"/>
      <c r="F8" s="829"/>
    </row>
    <row r="9" spans="1:6" ht="12.75">
      <c r="A9" s="767"/>
      <c r="B9" s="768"/>
      <c r="C9" s="768"/>
      <c r="D9" s="768"/>
      <c r="E9" s="768"/>
      <c r="F9" s="768"/>
    </row>
    <row r="10" ht="13.5" thickBot="1">
      <c r="F10" s="694" t="s">
        <v>100</v>
      </c>
    </row>
    <row r="11" spans="1:7" s="703" customFormat="1" ht="64.5" thickBot="1">
      <c r="A11" s="732" t="s">
        <v>102</v>
      </c>
      <c r="B11" s="732" t="s">
        <v>109</v>
      </c>
      <c r="C11" s="732" t="s">
        <v>605</v>
      </c>
      <c r="D11" s="732" t="s">
        <v>606</v>
      </c>
      <c r="E11" s="732" t="s">
        <v>554</v>
      </c>
      <c r="F11" s="732" t="s">
        <v>607</v>
      </c>
      <c r="G11" s="702"/>
    </row>
    <row r="12" spans="1:6" ht="13.5" thickBot="1">
      <c r="A12" s="704" t="s">
        <v>208</v>
      </c>
      <c r="B12" s="706" t="s">
        <v>209</v>
      </c>
      <c r="C12" s="706">
        <v>1</v>
      </c>
      <c r="D12" s="706">
        <v>2</v>
      </c>
      <c r="E12" s="706">
        <v>3</v>
      </c>
      <c r="F12" s="704" t="s">
        <v>211</v>
      </c>
    </row>
    <row r="13" spans="1:6" ht="13.5" thickBot="1">
      <c r="A13" s="706"/>
      <c r="B13" s="709" t="s">
        <v>212</v>
      </c>
      <c r="C13" s="710">
        <f>SUM(C15:C19)</f>
        <v>1109204</v>
      </c>
      <c r="D13" s="710">
        <f>SUM(D15:D19)</f>
        <v>0</v>
      </c>
      <c r="E13" s="710">
        <f>SUM(E15:E19)</f>
        <v>1109204</v>
      </c>
      <c r="F13" s="710">
        <f>C13-D13-E13</f>
        <v>0</v>
      </c>
    </row>
    <row r="14" spans="1:6" ht="12.75">
      <c r="A14" s="743"/>
      <c r="B14" s="713" t="s">
        <v>213</v>
      </c>
      <c r="C14" s="714"/>
      <c r="D14" s="714"/>
      <c r="E14" s="714"/>
      <c r="F14" s="715"/>
    </row>
    <row r="15" spans="1:6" ht="12.75">
      <c r="A15" s="743">
        <v>90103</v>
      </c>
      <c r="B15" s="716" t="s">
        <v>608</v>
      </c>
      <c r="C15" s="714">
        <v>1109204</v>
      </c>
      <c r="D15" s="714">
        <v>0</v>
      </c>
      <c r="E15" s="714">
        <v>1109204</v>
      </c>
      <c r="F15" s="714">
        <f>C15-D15-E15</f>
        <v>0</v>
      </c>
    </row>
    <row r="16" spans="1:6" ht="12.75">
      <c r="A16" s="743"/>
      <c r="B16" s="717"/>
      <c r="C16" s="714"/>
      <c r="D16" s="714"/>
      <c r="E16" s="714"/>
      <c r="F16" s="714"/>
    </row>
    <row r="17" spans="1:6" ht="12.75">
      <c r="A17" s="743"/>
      <c r="B17" s="717"/>
      <c r="C17" s="714"/>
      <c r="D17" s="714"/>
      <c r="E17" s="714"/>
      <c r="F17" s="714"/>
    </row>
    <row r="18" spans="1:6" ht="12.75">
      <c r="A18" s="743"/>
      <c r="B18" s="717"/>
      <c r="C18" s="714"/>
      <c r="D18" s="714"/>
      <c r="E18" s="714"/>
      <c r="F18" s="714"/>
    </row>
    <row r="19" spans="1:6" ht="13.5" thickBot="1">
      <c r="A19" s="750"/>
      <c r="B19" s="718"/>
      <c r="C19" s="719"/>
      <c r="D19" s="719"/>
      <c r="E19" s="719"/>
      <c r="F19" s="719"/>
    </row>
    <row r="20" spans="1:6" ht="13.5" thickBot="1">
      <c r="A20" s="706"/>
      <c r="B20" s="720" t="s">
        <v>609</v>
      </c>
      <c r="C20" s="710">
        <f>SUM(C22:C24)</f>
        <v>26532723</v>
      </c>
      <c r="D20" s="710">
        <f>SUM(D22:D24)</f>
        <v>0</v>
      </c>
      <c r="E20" s="710">
        <f>SUM(E22:E24)</f>
        <v>26532723</v>
      </c>
      <c r="F20" s="710">
        <f>SUM(F22:F24)</f>
        <v>0</v>
      </c>
    </row>
    <row r="21" spans="1:6" ht="12.75">
      <c r="A21" s="743"/>
      <c r="B21" s="713" t="s">
        <v>213</v>
      </c>
      <c r="C21" s="714"/>
      <c r="D21" s="714"/>
      <c r="E21" s="714"/>
      <c r="F21" s="714"/>
    </row>
    <row r="22" spans="1:6" s="703" customFormat="1" ht="15" customHeight="1">
      <c r="A22" s="743">
        <v>90106</v>
      </c>
      <c r="B22" s="717" t="s">
        <v>610</v>
      </c>
      <c r="C22" s="769">
        <v>26532723</v>
      </c>
      <c r="D22" s="769">
        <v>0</v>
      </c>
      <c r="E22" s="769">
        <v>26532723</v>
      </c>
      <c r="F22" s="714">
        <f>C22-D22-E22</f>
        <v>0</v>
      </c>
    </row>
    <row r="23" spans="1:6" ht="12.75">
      <c r="A23" s="756"/>
      <c r="B23" s="717"/>
      <c r="C23" s="714"/>
      <c r="D23" s="714"/>
      <c r="E23" s="714"/>
      <c r="F23" s="714"/>
    </row>
    <row r="24" spans="1:6" ht="13.5" thickBot="1">
      <c r="A24" s="750"/>
      <c r="B24" s="717"/>
      <c r="C24" s="719"/>
      <c r="D24" s="719"/>
      <c r="E24" s="719"/>
      <c r="F24" s="719"/>
    </row>
    <row r="25" spans="1:6" ht="13.5" thickBot="1">
      <c r="A25" s="706"/>
      <c r="B25" s="723" t="s">
        <v>542</v>
      </c>
      <c r="C25" s="710">
        <f>SUM(C27:C29)</f>
        <v>0</v>
      </c>
      <c r="D25" s="710">
        <f>SUM(D27:D29)</f>
        <v>0</v>
      </c>
      <c r="E25" s="710">
        <f>SUM(E27:E29)</f>
        <v>0</v>
      </c>
      <c r="F25" s="710">
        <f>SUM(F27:F29)</f>
        <v>0</v>
      </c>
    </row>
    <row r="26" spans="1:6" ht="12.75">
      <c r="A26" s="743"/>
      <c r="B26" s="716" t="s">
        <v>213</v>
      </c>
      <c r="C26" s="714"/>
      <c r="D26" s="714"/>
      <c r="E26" s="714"/>
      <c r="F26" s="714"/>
    </row>
    <row r="27" spans="1:6" ht="12.75">
      <c r="A27" s="756"/>
      <c r="B27" s="716"/>
      <c r="C27" s="714"/>
      <c r="D27" s="714"/>
      <c r="E27" s="714"/>
      <c r="F27" s="714"/>
    </row>
    <row r="28" spans="1:6" ht="12.75">
      <c r="A28" s="756"/>
      <c r="B28" s="717"/>
      <c r="C28" s="714"/>
      <c r="D28" s="714"/>
      <c r="E28" s="714"/>
      <c r="F28" s="714"/>
    </row>
    <row r="29" spans="1:6" ht="13.5" thickBot="1">
      <c r="A29" s="770"/>
      <c r="B29" s="718"/>
      <c r="C29" s="719"/>
      <c r="D29" s="719"/>
      <c r="E29" s="719"/>
      <c r="F29" s="719"/>
    </row>
    <row r="30" spans="1:7" ht="26.25" thickBot="1">
      <c r="A30" s="770"/>
      <c r="B30" s="725" t="s">
        <v>611</v>
      </c>
      <c r="C30" s="719">
        <f>C13+C20+C25</f>
        <v>27641927</v>
      </c>
      <c r="D30" s="719">
        <f>D13+D20+D25</f>
        <v>0</v>
      </c>
      <c r="E30" s="719">
        <f>E13+E20+E25</f>
        <v>27641927</v>
      </c>
      <c r="F30" s="719">
        <f>F13+F20+F25</f>
        <v>0</v>
      </c>
      <c r="G30" s="771"/>
    </row>
    <row r="31" ht="12.75">
      <c r="B31" s="587"/>
    </row>
    <row r="32" spans="1:2" ht="12.75">
      <c r="A32" s="587" t="s">
        <v>217</v>
      </c>
      <c r="B32" s="587"/>
    </row>
    <row r="33" spans="1:7" ht="13.5">
      <c r="A33" s="772" t="s">
        <v>623</v>
      </c>
      <c r="B33" s="587"/>
      <c r="C33" s="592"/>
      <c r="D33" s="592"/>
      <c r="E33" s="592"/>
      <c r="F33" s="592"/>
      <c r="G33" s="592"/>
    </row>
    <row r="34" spans="1:2" ht="13.5">
      <c r="A34" s="729" t="s">
        <v>624</v>
      </c>
      <c r="B34" s="587"/>
    </row>
    <row r="35" spans="1:2" ht="12.75">
      <c r="A35" s="588" t="s">
        <v>612</v>
      </c>
      <c r="B35" s="587"/>
    </row>
    <row r="36" spans="1:2" ht="12.75">
      <c r="A36" s="587" t="s">
        <v>220</v>
      </c>
      <c r="B36" s="587"/>
    </row>
    <row r="37" spans="1:2" ht="12.75">
      <c r="A37" s="587" t="s">
        <v>613</v>
      </c>
      <c r="B37" s="587"/>
    </row>
    <row r="38" spans="1:2" ht="12.75">
      <c r="A38" s="587" t="s">
        <v>222</v>
      </c>
      <c r="B38" s="587"/>
    </row>
    <row r="39" spans="1:2" ht="12.75">
      <c r="A39" s="587" t="s">
        <v>614</v>
      </c>
      <c r="B39" s="587"/>
    </row>
    <row r="40" ht="12.75">
      <c r="A40" s="587"/>
    </row>
    <row r="41" ht="12.75">
      <c r="A41" s="587"/>
    </row>
    <row r="42" ht="12.75">
      <c r="A42" s="730" t="s">
        <v>532</v>
      </c>
    </row>
    <row r="43" ht="12.75">
      <c r="A43" s="403"/>
    </row>
    <row r="44" spans="1:6" ht="12.75">
      <c r="A44" s="688" t="s">
        <v>533</v>
      </c>
      <c r="B44" s="688" t="s">
        <v>615</v>
      </c>
      <c r="E44" s="688" t="s">
        <v>535</v>
      </c>
      <c r="F44" s="688" t="s">
        <v>536</v>
      </c>
    </row>
    <row r="45" spans="1:6" ht="12.75">
      <c r="A45" s="830" t="s">
        <v>616</v>
      </c>
      <c r="B45" s="830"/>
      <c r="E45" s="830" t="s">
        <v>617</v>
      </c>
      <c r="F45" s="815"/>
    </row>
  </sheetData>
  <mergeCells count="4">
    <mergeCell ref="A7:F7"/>
    <mergeCell ref="A8:F8"/>
    <mergeCell ref="E45:F45"/>
    <mergeCell ref="A45:B45"/>
  </mergeCells>
  <printOptions horizontalCentered="1"/>
  <pageMargins left="1.14" right="0.2755905511811024" top="0.65" bottom="0.2362204724409449" header="0.38" footer="0.2362204724409449"/>
  <pageSetup horizontalDpi="300" verticalDpi="300" orientation="landscape" paperSize="9" scale="80" r:id="rId1"/>
  <headerFooter alignWithMargins="0">
    <oddHeader>&amp;R&amp;"Arial CE,Tučné"&amp;11Příloha č. 8</oddHeader>
    <oddFooter>&amp;C39</oddFooter>
  </headerFooter>
</worksheet>
</file>

<file path=xl/worksheets/sheet22.xml><?xml version="1.0" encoding="utf-8"?>
<worksheet xmlns="http://schemas.openxmlformats.org/spreadsheetml/2006/main" xmlns:r="http://schemas.openxmlformats.org/officeDocument/2006/relationships">
  <dimension ref="A1:G45"/>
  <sheetViews>
    <sheetView workbookViewId="0" topLeftCell="A13">
      <selection activeCell="B21" sqref="B21"/>
    </sheetView>
  </sheetViews>
  <sheetFormatPr defaultColWidth="9.00390625" defaultRowHeight="12.75"/>
  <cols>
    <col min="1" max="1" width="8.125" style="688" customWidth="1"/>
    <col min="2" max="2" width="55.375" style="688" customWidth="1"/>
    <col min="3" max="3" width="17.00390625" style="688" customWidth="1"/>
    <col min="4" max="4" width="17.25390625" style="688" customWidth="1"/>
    <col min="5" max="5" width="17.75390625" style="688" customWidth="1"/>
    <col min="6" max="6" width="17.625" style="688" customWidth="1"/>
    <col min="7" max="7" width="13.375" style="688" customWidth="1"/>
    <col min="8" max="16384" width="9.125" style="688" customWidth="1"/>
  </cols>
  <sheetData>
    <row r="1" spans="1:6" ht="12.75">
      <c r="A1" s="689"/>
      <c r="E1" s="592" t="s">
        <v>603</v>
      </c>
      <c r="F1" s="592"/>
    </row>
    <row r="2" spans="1:3" ht="12.75">
      <c r="A2" s="691"/>
      <c r="B2" s="766"/>
      <c r="C2" s="663"/>
    </row>
    <row r="3" spans="1:3" ht="12.75">
      <c r="A3" s="688" t="s">
        <v>618</v>
      </c>
      <c r="C3" s="692" t="s">
        <v>156</v>
      </c>
    </row>
    <row r="4" spans="1:3" ht="14.25">
      <c r="A4" s="688" t="s">
        <v>619</v>
      </c>
      <c r="C4" s="692" t="s">
        <v>625</v>
      </c>
    </row>
    <row r="5" ht="12.75">
      <c r="A5" s="688" t="s">
        <v>620</v>
      </c>
    </row>
    <row r="7" spans="1:6" ht="14.25">
      <c r="A7" s="827" t="s">
        <v>621</v>
      </c>
      <c r="B7" s="827"/>
      <c r="C7" s="827"/>
      <c r="D7" s="827"/>
      <c r="E7" s="827"/>
      <c r="F7" s="827"/>
    </row>
    <row r="8" spans="1:6" ht="12.75">
      <c r="A8" s="828" t="s">
        <v>622</v>
      </c>
      <c r="B8" s="829"/>
      <c r="C8" s="829"/>
      <c r="D8" s="829"/>
      <c r="E8" s="829"/>
      <c r="F8" s="829"/>
    </row>
    <row r="9" spans="1:6" ht="12.75">
      <c r="A9" s="767"/>
      <c r="B9" s="768"/>
      <c r="C9" s="768"/>
      <c r="D9" s="768"/>
      <c r="E9" s="768"/>
      <c r="F9" s="768"/>
    </row>
    <row r="10" ht="13.5" thickBot="1">
      <c r="F10" s="694" t="s">
        <v>100</v>
      </c>
    </row>
    <row r="11" spans="1:7" s="703" customFormat="1" ht="64.5" thickBot="1">
      <c r="A11" s="732" t="s">
        <v>102</v>
      </c>
      <c r="B11" s="732" t="s">
        <v>109</v>
      </c>
      <c r="C11" s="732" t="s">
        <v>605</v>
      </c>
      <c r="D11" s="732" t="s">
        <v>606</v>
      </c>
      <c r="E11" s="732" t="s">
        <v>554</v>
      </c>
      <c r="F11" s="732" t="s">
        <v>607</v>
      </c>
      <c r="G11" s="702"/>
    </row>
    <row r="12" spans="1:6" ht="13.5" thickBot="1">
      <c r="A12" s="704" t="s">
        <v>208</v>
      </c>
      <c r="B12" s="706" t="s">
        <v>209</v>
      </c>
      <c r="C12" s="706">
        <v>1</v>
      </c>
      <c r="D12" s="706">
        <v>2</v>
      </c>
      <c r="E12" s="706">
        <v>3</v>
      </c>
      <c r="F12" s="704" t="s">
        <v>211</v>
      </c>
    </row>
    <row r="13" spans="1:6" ht="13.5" thickBot="1">
      <c r="A13" s="706"/>
      <c r="B13" s="709" t="s">
        <v>212</v>
      </c>
      <c r="C13" s="710">
        <f>SUM(C15:C19)</f>
        <v>4134448</v>
      </c>
      <c r="D13" s="710">
        <f>SUM(D15:D19)</f>
        <v>0</v>
      </c>
      <c r="E13" s="710">
        <f>SUM(E15:E19)</f>
        <v>140211</v>
      </c>
      <c r="F13" s="773" t="s">
        <v>626</v>
      </c>
    </row>
    <row r="14" spans="1:6" ht="12.75">
      <c r="A14" s="743"/>
      <c r="B14" s="713" t="s">
        <v>213</v>
      </c>
      <c r="C14" s="714"/>
      <c r="D14" s="714"/>
      <c r="E14" s="714"/>
      <c r="F14" s="715"/>
    </row>
    <row r="15" spans="1:6" ht="12.75">
      <c r="A15" s="743">
        <v>92467</v>
      </c>
      <c r="B15" s="716" t="s">
        <v>627</v>
      </c>
      <c r="C15" s="714"/>
      <c r="D15" s="714"/>
      <c r="E15" s="714"/>
      <c r="F15" s="714"/>
    </row>
    <row r="16" spans="1:6" ht="12.75">
      <c r="A16" s="743"/>
      <c r="B16" s="717" t="s">
        <v>628</v>
      </c>
      <c r="C16" s="714"/>
      <c r="D16" s="714"/>
      <c r="E16" s="714"/>
      <c r="F16" s="714"/>
    </row>
    <row r="17" spans="1:6" ht="12.75">
      <c r="A17" s="743"/>
      <c r="B17" s="717" t="s">
        <v>629</v>
      </c>
      <c r="C17" s="714">
        <v>4134448</v>
      </c>
      <c r="D17" s="714">
        <v>0</v>
      </c>
      <c r="E17" s="714">
        <v>140211</v>
      </c>
      <c r="F17" s="773" t="s">
        <v>626</v>
      </c>
    </row>
    <row r="18" spans="1:6" ht="12.75">
      <c r="A18" s="743"/>
      <c r="B18" s="717"/>
      <c r="C18" s="714"/>
      <c r="D18" s="714"/>
      <c r="E18" s="714"/>
      <c r="F18" s="714"/>
    </row>
    <row r="19" spans="1:6" ht="13.5" thickBot="1">
      <c r="A19" s="750"/>
      <c r="B19" s="718"/>
      <c r="C19" s="719"/>
      <c r="D19" s="719"/>
      <c r="E19" s="719"/>
      <c r="F19" s="719"/>
    </row>
    <row r="20" spans="1:6" ht="13.5" thickBot="1">
      <c r="A20" s="706"/>
      <c r="B20" s="720" t="s">
        <v>609</v>
      </c>
      <c r="C20" s="710">
        <f>SUM(C22:C24)</f>
        <v>0</v>
      </c>
      <c r="D20" s="710">
        <f>SUM(D22:D24)</f>
        <v>0</v>
      </c>
      <c r="E20" s="710">
        <f>SUM(E22:E24)</f>
        <v>0</v>
      </c>
      <c r="F20" s="710">
        <f>SUM(F22:F24)</f>
        <v>0</v>
      </c>
    </row>
    <row r="21" spans="1:6" ht="12.75">
      <c r="A21" s="743"/>
      <c r="B21" s="713" t="s">
        <v>213</v>
      </c>
      <c r="C21" s="714"/>
      <c r="D21" s="714"/>
      <c r="E21" s="714"/>
      <c r="F21" s="714"/>
    </row>
    <row r="22" spans="1:6" s="703" customFormat="1" ht="15" customHeight="1">
      <c r="A22" s="755"/>
      <c r="B22" s="717"/>
      <c r="C22" s="769"/>
      <c r="D22" s="769"/>
      <c r="E22" s="769"/>
      <c r="F22" s="714"/>
    </row>
    <row r="23" spans="1:6" ht="12.75">
      <c r="A23" s="756"/>
      <c r="B23" s="717"/>
      <c r="C23" s="714"/>
      <c r="D23" s="714"/>
      <c r="E23" s="714"/>
      <c r="F23" s="714"/>
    </row>
    <row r="24" spans="1:6" ht="13.5" thickBot="1">
      <c r="A24" s="750"/>
      <c r="B24" s="717"/>
      <c r="C24" s="719"/>
      <c r="D24" s="719"/>
      <c r="E24" s="719"/>
      <c r="F24" s="719"/>
    </row>
    <row r="25" spans="1:6" ht="13.5" thickBot="1">
      <c r="A25" s="706"/>
      <c r="B25" s="723" t="s">
        <v>542</v>
      </c>
      <c r="C25" s="710">
        <f>SUM(C27:C29)</f>
        <v>0</v>
      </c>
      <c r="D25" s="710">
        <f>SUM(D27:D29)</f>
        <v>0</v>
      </c>
      <c r="E25" s="710">
        <f>SUM(E27:E29)</f>
        <v>0</v>
      </c>
      <c r="F25" s="710">
        <f>SUM(F27:F29)</f>
        <v>0</v>
      </c>
    </row>
    <row r="26" spans="1:6" ht="12.75">
      <c r="A26" s="743"/>
      <c r="B26" s="716" t="s">
        <v>213</v>
      </c>
      <c r="C26" s="714"/>
      <c r="D26" s="714"/>
      <c r="E26" s="714"/>
      <c r="F26" s="714"/>
    </row>
    <row r="27" spans="1:6" ht="12.75">
      <c r="A27" s="756"/>
      <c r="B27" s="716"/>
      <c r="C27" s="714"/>
      <c r="D27" s="714"/>
      <c r="E27" s="714"/>
      <c r="F27" s="714"/>
    </row>
    <row r="28" spans="1:6" ht="12.75">
      <c r="A28" s="756"/>
      <c r="B28" s="717"/>
      <c r="C28" s="714"/>
      <c r="D28" s="714"/>
      <c r="E28" s="714"/>
      <c r="F28" s="714"/>
    </row>
    <row r="29" spans="1:6" ht="13.5" thickBot="1">
      <c r="A29" s="770"/>
      <c r="B29" s="718"/>
      <c r="C29" s="719"/>
      <c r="D29" s="719"/>
      <c r="E29" s="719"/>
      <c r="F29" s="719"/>
    </row>
    <row r="30" spans="1:7" ht="26.25" thickBot="1">
      <c r="A30" s="770"/>
      <c r="B30" s="725" t="s">
        <v>611</v>
      </c>
      <c r="C30" s="719">
        <f>C13+C20+C25</f>
        <v>4134448</v>
      </c>
      <c r="D30" s="719">
        <f>D13+D20+D25</f>
        <v>0</v>
      </c>
      <c r="E30" s="719">
        <f>E13+E20+E25</f>
        <v>140211</v>
      </c>
      <c r="F30" s="774" t="s">
        <v>626</v>
      </c>
      <c r="G30" s="771"/>
    </row>
    <row r="31" ht="12.75">
      <c r="B31" s="587"/>
    </row>
    <row r="32" spans="1:2" ht="12.75">
      <c r="A32" s="587" t="s">
        <v>217</v>
      </c>
      <c r="B32" s="587"/>
    </row>
    <row r="33" spans="1:7" ht="13.5">
      <c r="A33" s="772" t="s">
        <v>623</v>
      </c>
      <c r="B33" s="587"/>
      <c r="C33" s="592"/>
      <c r="D33" s="592"/>
      <c r="E33" s="592"/>
      <c r="F33" s="592"/>
      <c r="G33" s="592"/>
    </row>
    <row r="34" spans="1:2" ht="13.5">
      <c r="A34" s="729" t="s">
        <v>624</v>
      </c>
      <c r="B34" s="587"/>
    </row>
    <row r="35" spans="1:2" ht="12.75">
      <c r="A35" s="588" t="s">
        <v>612</v>
      </c>
      <c r="B35" s="587"/>
    </row>
    <row r="36" spans="1:2" ht="12.75">
      <c r="A36" s="587" t="s">
        <v>220</v>
      </c>
      <c r="B36" s="587"/>
    </row>
    <row r="37" spans="1:2" ht="12.75">
      <c r="A37" s="587" t="s">
        <v>613</v>
      </c>
      <c r="B37" s="587"/>
    </row>
    <row r="38" spans="1:2" ht="12.75">
      <c r="A38" s="587" t="s">
        <v>222</v>
      </c>
      <c r="B38" s="587"/>
    </row>
    <row r="39" spans="1:2" ht="12.75">
      <c r="A39" s="587" t="s">
        <v>614</v>
      </c>
      <c r="B39" s="587"/>
    </row>
    <row r="40" ht="12.75">
      <c r="A40" s="587"/>
    </row>
    <row r="41" ht="12.75">
      <c r="A41" s="587"/>
    </row>
    <row r="42" ht="12.75">
      <c r="A42" s="730" t="s">
        <v>532</v>
      </c>
    </row>
    <row r="43" ht="12.75">
      <c r="A43" s="403"/>
    </row>
    <row r="44" spans="1:6" ht="12.75">
      <c r="A44" s="688" t="s">
        <v>533</v>
      </c>
      <c r="B44" s="688" t="s">
        <v>615</v>
      </c>
      <c r="E44" s="688" t="s">
        <v>535</v>
      </c>
      <c r="F44" s="688" t="s">
        <v>536</v>
      </c>
    </row>
    <row r="45" spans="1:6" ht="12.75">
      <c r="A45" s="830" t="s">
        <v>616</v>
      </c>
      <c r="B45" s="830"/>
      <c r="E45" s="830" t="s">
        <v>617</v>
      </c>
      <c r="F45" s="815"/>
    </row>
  </sheetData>
  <mergeCells count="4">
    <mergeCell ref="A7:F7"/>
    <mergeCell ref="A8:F8"/>
    <mergeCell ref="E45:F45"/>
    <mergeCell ref="A45:B45"/>
  </mergeCells>
  <printOptions horizontalCentered="1"/>
  <pageMargins left="1.04" right="0.34" top="0.67" bottom="0.2362204724409449" header="0.4" footer="0.2362204724409449"/>
  <pageSetup horizontalDpi="300" verticalDpi="300" orientation="landscape" paperSize="9" scale="80" r:id="rId1"/>
  <headerFooter alignWithMargins="0">
    <oddHeader>&amp;R&amp;"Arial CE,Tučné"&amp;11Příloha č. 8</oddHeader>
    <oddFooter>&amp;C40</oddFooter>
  </headerFooter>
</worksheet>
</file>

<file path=xl/worksheets/sheet23.xml><?xml version="1.0" encoding="utf-8"?>
<worksheet xmlns="http://schemas.openxmlformats.org/spreadsheetml/2006/main" xmlns:r="http://schemas.openxmlformats.org/officeDocument/2006/relationships">
  <dimension ref="A1:G41"/>
  <sheetViews>
    <sheetView workbookViewId="0" topLeftCell="A19">
      <selection activeCell="A42" sqref="A42"/>
    </sheetView>
  </sheetViews>
  <sheetFormatPr defaultColWidth="9.00390625" defaultRowHeight="12.75"/>
  <cols>
    <col min="1" max="1" width="8.125" style="688" customWidth="1"/>
    <col min="2" max="2" width="55.375" style="688" customWidth="1"/>
    <col min="3" max="3" width="17.00390625" style="688" customWidth="1"/>
    <col min="4" max="4" width="17.25390625" style="688" customWidth="1"/>
    <col min="5" max="5" width="17.75390625" style="688" customWidth="1"/>
    <col min="6" max="6" width="17.625" style="688" customWidth="1"/>
    <col min="7" max="7" width="13.375" style="688" customWidth="1"/>
    <col min="8" max="16384" width="9.125" style="688" customWidth="1"/>
  </cols>
  <sheetData>
    <row r="1" spans="1:6" ht="12.75">
      <c r="A1" s="689"/>
      <c r="E1" s="592" t="s">
        <v>603</v>
      </c>
      <c r="F1" s="592"/>
    </row>
    <row r="2" spans="1:3" ht="12.75">
      <c r="A2" s="691"/>
      <c r="B2" s="766"/>
      <c r="C2" s="663"/>
    </row>
    <row r="3" spans="1:3" ht="12.75">
      <c r="A3" s="688" t="s">
        <v>618</v>
      </c>
      <c r="C3" s="692" t="s">
        <v>156</v>
      </c>
    </row>
    <row r="4" spans="1:3" ht="14.25">
      <c r="A4" s="688" t="s">
        <v>619</v>
      </c>
      <c r="C4" s="692" t="s">
        <v>544</v>
      </c>
    </row>
    <row r="5" ht="12.75">
      <c r="A5" s="688" t="s">
        <v>620</v>
      </c>
    </row>
    <row r="7" spans="1:6" ht="14.25">
      <c r="A7" s="827" t="s">
        <v>621</v>
      </c>
      <c r="B7" s="827"/>
      <c r="C7" s="827"/>
      <c r="D7" s="827"/>
      <c r="E7" s="827"/>
      <c r="F7" s="827"/>
    </row>
    <row r="8" spans="1:6" ht="12.75">
      <c r="A8" s="828" t="s">
        <v>622</v>
      </c>
      <c r="B8" s="829"/>
      <c r="C8" s="829"/>
      <c r="D8" s="829"/>
      <c r="E8" s="829"/>
      <c r="F8" s="829"/>
    </row>
    <row r="9" spans="1:6" ht="12.75">
      <c r="A9" s="767"/>
      <c r="B9" s="768"/>
      <c r="C9" s="768"/>
      <c r="D9" s="768"/>
      <c r="E9" s="768"/>
      <c r="F9" s="768"/>
    </row>
    <row r="10" ht="13.5" thickBot="1">
      <c r="F10" s="694" t="s">
        <v>100</v>
      </c>
    </row>
    <row r="11" spans="1:7" s="703" customFormat="1" ht="64.5" thickBot="1">
      <c r="A11" s="732" t="s">
        <v>102</v>
      </c>
      <c r="B11" s="732" t="s">
        <v>109</v>
      </c>
      <c r="C11" s="732" t="s">
        <v>605</v>
      </c>
      <c r="D11" s="732" t="s">
        <v>606</v>
      </c>
      <c r="E11" s="732" t="s">
        <v>554</v>
      </c>
      <c r="F11" s="732" t="s">
        <v>607</v>
      </c>
      <c r="G11" s="702"/>
    </row>
    <row r="12" spans="1:6" ht="13.5" thickBot="1">
      <c r="A12" s="704" t="s">
        <v>208</v>
      </c>
      <c r="B12" s="706" t="s">
        <v>209</v>
      </c>
      <c r="C12" s="706">
        <v>1</v>
      </c>
      <c r="D12" s="706">
        <v>2</v>
      </c>
      <c r="E12" s="706">
        <v>3</v>
      </c>
      <c r="F12" s="704" t="s">
        <v>211</v>
      </c>
    </row>
    <row r="13" spans="1:6" ht="13.5" thickBot="1">
      <c r="A13" s="706"/>
      <c r="B13" s="709" t="s">
        <v>212</v>
      </c>
      <c r="C13" s="710">
        <f>SUM(C15:C15)</f>
        <v>0</v>
      </c>
      <c r="D13" s="710">
        <f>SUM(D15:D15)</f>
        <v>0</v>
      </c>
      <c r="E13" s="710">
        <f>SUM(E15:E15)</f>
        <v>0</v>
      </c>
      <c r="F13" s="710">
        <f>SUM(F15:F15)</f>
        <v>0</v>
      </c>
    </row>
    <row r="14" spans="1:6" ht="12.75">
      <c r="A14" s="743"/>
      <c r="B14" s="713" t="s">
        <v>213</v>
      </c>
      <c r="C14" s="714"/>
      <c r="D14" s="714"/>
      <c r="E14" s="714"/>
      <c r="F14" s="715"/>
    </row>
    <row r="15" spans="1:6" ht="13.5" thickBot="1">
      <c r="A15" s="743"/>
      <c r="B15" s="716"/>
      <c r="C15" s="714"/>
      <c r="D15" s="714"/>
      <c r="E15" s="714"/>
      <c r="F15" s="714"/>
    </row>
    <row r="16" spans="1:6" ht="13.5" thickBot="1">
      <c r="A16" s="706"/>
      <c r="B16" s="720" t="s">
        <v>609</v>
      </c>
      <c r="C16" s="710">
        <f>SUM(C18:C19)</f>
        <v>0</v>
      </c>
      <c r="D16" s="710">
        <f>SUM(D18:D19)</f>
        <v>0</v>
      </c>
      <c r="E16" s="710">
        <f>SUM(E18:E19)</f>
        <v>0</v>
      </c>
      <c r="F16" s="710">
        <f>SUM(F18:F19)</f>
        <v>0</v>
      </c>
    </row>
    <row r="17" spans="1:6" ht="12.75">
      <c r="A17" s="743"/>
      <c r="B17" s="713" t="s">
        <v>213</v>
      </c>
      <c r="C17" s="714"/>
      <c r="D17" s="714"/>
      <c r="E17" s="714"/>
      <c r="F17" s="714"/>
    </row>
    <row r="18" spans="1:6" s="703" customFormat="1" ht="15" customHeight="1">
      <c r="A18" s="743">
        <v>14669</v>
      </c>
      <c r="B18" s="717" t="s">
        <v>630</v>
      </c>
      <c r="C18" s="769">
        <v>0</v>
      </c>
      <c r="D18" s="769">
        <v>0</v>
      </c>
      <c r="E18" s="769">
        <v>0</v>
      </c>
      <c r="F18" s="714">
        <f>C18-D18-E18</f>
        <v>0</v>
      </c>
    </row>
    <row r="19" spans="1:6" ht="13.5" thickBot="1">
      <c r="A19" s="750"/>
      <c r="B19" s="717"/>
      <c r="C19" s="719"/>
      <c r="D19" s="719"/>
      <c r="E19" s="719"/>
      <c r="F19" s="719"/>
    </row>
    <row r="20" spans="1:6" ht="13.5" thickBot="1">
      <c r="A20" s="706"/>
      <c r="B20" s="723" t="s">
        <v>542</v>
      </c>
      <c r="C20" s="710">
        <f>SUM(C22:C22)</f>
        <v>0</v>
      </c>
      <c r="D20" s="710">
        <f>SUM(D22:D22)</f>
        <v>0</v>
      </c>
      <c r="E20" s="710">
        <f>SUM(E22:E22)</f>
        <v>0</v>
      </c>
      <c r="F20" s="710">
        <f>SUM(F22:F22)</f>
        <v>0</v>
      </c>
    </row>
    <row r="21" spans="1:6" ht="12.75">
      <c r="A21" s="743"/>
      <c r="B21" s="716" t="s">
        <v>213</v>
      </c>
      <c r="C21" s="714"/>
      <c r="D21" s="714"/>
      <c r="E21" s="714"/>
      <c r="F21" s="714"/>
    </row>
    <row r="22" spans="1:6" ht="13.5" thickBot="1">
      <c r="A22" s="770"/>
      <c r="B22" s="718"/>
      <c r="C22" s="719"/>
      <c r="D22" s="719"/>
      <c r="E22" s="719"/>
      <c r="F22" s="719"/>
    </row>
    <row r="23" spans="1:7" ht="26.25" thickBot="1">
      <c r="A23" s="770"/>
      <c r="B23" s="725" t="s">
        <v>611</v>
      </c>
      <c r="C23" s="719">
        <f>C13+C16+C20</f>
        <v>0</v>
      </c>
      <c r="D23" s="719">
        <f>D13+D16+D20</f>
        <v>0</v>
      </c>
      <c r="E23" s="719">
        <f>E13+E16+E20</f>
        <v>0</v>
      </c>
      <c r="F23" s="719">
        <f>F13+F16+F20</f>
        <v>0</v>
      </c>
      <c r="G23" s="771"/>
    </row>
    <row r="24" ht="12.75">
      <c r="B24" s="587"/>
    </row>
    <row r="25" spans="1:2" ht="12.75">
      <c r="A25" s="587" t="s">
        <v>217</v>
      </c>
      <c r="B25" s="587"/>
    </row>
    <row r="26" spans="1:7" ht="13.5">
      <c r="A26" s="772" t="s">
        <v>623</v>
      </c>
      <c r="B26" s="587"/>
      <c r="C26" s="592"/>
      <c r="D26" s="592"/>
      <c r="E26" s="592"/>
      <c r="F26" s="592"/>
      <c r="G26" s="592"/>
    </row>
    <row r="27" spans="1:2" ht="13.5">
      <c r="A27" s="729" t="s">
        <v>624</v>
      </c>
      <c r="B27" s="587"/>
    </row>
    <row r="28" spans="1:2" ht="12.75">
      <c r="A28" s="588" t="s">
        <v>612</v>
      </c>
      <c r="B28" s="587"/>
    </row>
    <row r="29" spans="1:2" ht="12.75">
      <c r="A29" s="587" t="s">
        <v>220</v>
      </c>
      <c r="B29" s="587"/>
    </row>
    <row r="30" spans="1:2" ht="12.75">
      <c r="A30" s="587" t="s">
        <v>613</v>
      </c>
      <c r="B30" s="587"/>
    </row>
    <row r="31" spans="1:2" ht="12.75">
      <c r="A31" s="587" t="s">
        <v>222</v>
      </c>
      <c r="B31" s="587"/>
    </row>
    <row r="32" spans="1:2" ht="12.75">
      <c r="A32" s="587" t="s">
        <v>614</v>
      </c>
      <c r="B32" s="587"/>
    </row>
    <row r="33" ht="12.75">
      <c r="A33" s="587"/>
    </row>
    <row r="34" ht="12.75">
      <c r="A34" s="587"/>
    </row>
    <row r="35" ht="12.75">
      <c r="A35" s="730" t="s">
        <v>532</v>
      </c>
    </row>
    <row r="36" ht="12.75">
      <c r="A36" s="403"/>
    </row>
    <row r="37" spans="1:6" ht="12.75">
      <c r="A37" s="688" t="s">
        <v>533</v>
      </c>
      <c r="B37" s="688" t="s">
        <v>615</v>
      </c>
      <c r="E37" s="688" t="s">
        <v>535</v>
      </c>
      <c r="F37" s="688" t="s">
        <v>536</v>
      </c>
    </row>
    <row r="38" spans="1:6" ht="12.75">
      <c r="A38" s="830" t="s">
        <v>616</v>
      </c>
      <c r="B38" s="830"/>
      <c r="E38" s="830" t="s">
        <v>617</v>
      </c>
      <c r="F38" s="815"/>
    </row>
    <row r="40" ht="12.75">
      <c r="A40" s="688" t="s">
        <v>631</v>
      </c>
    </row>
    <row r="41" ht="12.75">
      <c r="A41" s="688" t="s">
        <v>632</v>
      </c>
    </row>
  </sheetData>
  <mergeCells count="4">
    <mergeCell ref="A7:F7"/>
    <mergeCell ref="A8:F8"/>
    <mergeCell ref="E38:F38"/>
    <mergeCell ref="A38:B38"/>
  </mergeCells>
  <printOptions horizontalCentered="1"/>
  <pageMargins left="1.14" right="0.2755905511811024" top="0.86" bottom="0.2362204724409449" header="0.57" footer="0.2362204724409449"/>
  <pageSetup horizontalDpi="300" verticalDpi="300" orientation="landscape" paperSize="9" scale="80" r:id="rId1"/>
  <headerFooter alignWithMargins="0">
    <oddHeader>&amp;R&amp;"Arial CE,Tučné"&amp;11Příloha č. 8</oddHeader>
    <oddFooter>&amp;C41</oddFooter>
  </headerFooter>
</worksheet>
</file>

<file path=xl/worksheets/sheet24.xml><?xml version="1.0" encoding="utf-8"?>
<worksheet xmlns="http://schemas.openxmlformats.org/spreadsheetml/2006/main" xmlns:r="http://schemas.openxmlformats.org/officeDocument/2006/relationships">
  <dimension ref="A1:G42"/>
  <sheetViews>
    <sheetView workbookViewId="0" topLeftCell="A22">
      <selection activeCell="C29" sqref="C29"/>
    </sheetView>
  </sheetViews>
  <sheetFormatPr defaultColWidth="9.00390625" defaultRowHeight="12.75"/>
  <cols>
    <col min="1" max="1" width="8.125" style="688" customWidth="1"/>
    <col min="2" max="2" width="55.375" style="688" customWidth="1"/>
    <col min="3" max="3" width="17.00390625" style="688" customWidth="1"/>
    <col min="4" max="4" width="17.25390625" style="688" customWidth="1"/>
    <col min="5" max="5" width="17.75390625" style="688" customWidth="1"/>
    <col min="6" max="6" width="17.625" style="688" customWidth="1"/>
    <col min="7" max="7" width="13.375" style="688" customWidth="1"/>
    <col min="8" max="16384" width="9.125" style="688" customWidth="1"/>
  </cols>
  <sheetData>
    <row r="1" spans="1:6" ht="12.75">
      <c r="A1" s="689"/>
      <c r="E1" s="592" t="s">
        <v>603</v>
      </c>
      <c r="F1" s="592"/>
    </row>
    <row r="2" spans="1:3" ht="12.75">
      <c r="A2" s="691"/>
      <c r="B2" s="766"/>
      <c r="C2" s="663"/>
    </row>
    <row r="3" spans="1:3" ht="12.75">
      <c r="A3" s="688" t="s">
        <v>618</v>
      </c>
      <c r="C3" s="692" t="s">
        <v>156</v>
      </c>
    </row>
    <row r="4" spans="1:3" ht="14.25">
      <c r="A4" s="688" t="s">
        <v>619</v>
      </c>
      <c r="C4" s="692" t="s">
        <v>633</v>
      </c>
    </row>
    <row r="5" ht="12.75">
      <c r="A5" s="688" t="s">
        <v>620</v>
      </c>
    </row>
    <row r="7" spans="1:6" ht="14.25">
      <c r="A7" s="827" t="s">
        <v>621</v>
      </c>
      <c r="B7" s="827"/>
      <c r="C7" s="827"/>
      <c r="D7" s="827"/>
      <c r="E7" s="827"/>
      <c r="F7" s="827"/>
    </row>
    <row r="8" spans="1:6" ht="12.75">
      <c r="A8" s="828" t="s">
        <v>622</v>
      </c>
      <c r="B8" s="829"/>
      <c r="C8" s="829"/>
      <c r="D8" s="829"/>
      <c r="E8" s="829"/>
      <c r="F8" s="829"/>
    </row>
    <row r="9" spans="1:6" ht="12.75">
      <c r="A9" s="767"/>
      <c r="B9" s="768"/>
      <c r="C9" s="768"/>
      <c r="D9" s="768"/>
      <c r="E9" s="768"/>
      <c r="F9" s="768"/>
    </row>
    <row r="10" ht="13.5" thickBot="1">
      <c r="F10" s="694" t="s">
        <v>100</v>
      </c>
    </row>
    <row r="11" spans="1:7" s="703" customFormat="1" ht="64.5" thickBot="1">
      <c r="A11" s="732" t="s">
        <v>102</v>
      </c>
      <c r="B11" s="732" t="s">
        <v>109</v>
      </c>
      <c r="C11" s="732" t="s">
        <v>605</v>
      </c>
      <c r="D11" s="732" t="s">
        <v>606</v>
      </c>
      <c r="E11" s="732" t="s">
        <v>554</v>
      </c>
      <c r="F11" s="732" t="s">
        <v>607</v>
      </c>
      <c r="G11" s="702"/>
    </row>
    <row r="12" spans="1:6" ht="13.5" thickBot="1">
      <c r="A12" s="704" t="s">
        <v>208</v>
      </c>
      <c r="B12" s="706" t="s">
        <v>209</v>
      </c>
      <c r="C12" s="706">
        <v>1</v>
      </c>
      <c r="D12" s="706">
        <v>2</v>
      </c>
      <c r="E12" s="706">
        <v>3</v>
      </c>
      <c r="F12" s="704" t="s">
        <v>211</v>
      </c>
    </row>
    <row r="13" spans="1:6" ht="13.5" thickBot="1">
      <c r="A13" s="706"/>
      <c r="B13" s="709" t="s">
        <v>212</v>
      </c>
      <c r="C13" s="710">
        <f>SUM(C15:C18)</f>
        <v>2717594.5</v>
      </c>
      <c r="D13" s="710">
        <f>SUM(D15:D18)</f>
        <v>0</v>
      </c>
      <c r="E13" s="710">
        <f>SUM(E15:E18)</f>
        <v>2717594.5</v>
      </c>
      <c r="F13" s="710">
        <f>SUM(F15:F18)</f>
        <v>0</v>
      </c>
    </row>
    <row r="14" spans="1:6" ht="12.75">
      <c r="A14" s="743"/>
      <c r="B14" s="713" t="s">
        <v>213</v>
      </c>
      <c r="C14" s="714"/>
      <c r="D14" s="714"/>
      <c r="E14" s="714"/>
      <c r="F14" s="715"/>
    </row>
    <row r="15" spans="1:6" ht="12.75">
      <c r="A15" s="743">
        <v>17464</v>
      </c>
      <c r="B15" s="716" t="s">
        <v>634</v>
      </c>
      <c r="C15" s="714">
        <v>2614833.5</v>
      </c>
      <c r="D15" s="714">
        <v>0</v>
      </c>
      <c r="E15" s="714">
        <v>2614833.5</v>
      </c>
      <c r="F15" s="714">
        <f>C15-D15-E15</f>
        <v>0</v>
      </c>
    </row>
    <row r="16" spans="1:6" ht="12.75">
      <c r="A16" s="743">
        <v>17465</v>
      </c>
      <c r="B16" s="717" t="s">
        <v>635</v>
      </c>
      <c r="C16" s="714">
        <v>102761</v>
      </c>
      <c r="D16" s="714">
        <v>0</v>
      </c>
      <c r="E16" s="714">
        <v>102761</v>
      </c>
      <c r="F16" s="714">
        <f>C16-D16-E16</f>
        <v>0</v>
      </c>
    </row>
    <row r="17" spans="1:6" ht="12.75">
      <c r="A17" s="743"/>
      <c r="B17" s="717"/>
      <c r="C17" s="714"/>
      <c r="D17" s="714"/>
      <c r="E17" s="714"/>
      <c r="F17" s="714"/>
    </row>
    <row r="18" spans="1:6" ht="13.5" thickBot="1">
      <c r="A18" s="750"/>
      <c r="B18" s="718"/>
      <c r="C18" s="719"/>
      <c r="D18" s="719"/>
      <c r="E18" s="719"/>
      <c r="F18" s="719"/>
    </row>
    <row r="19" spans="1:6" ht="13.5" thickBot="1">
      <c r="A19" s="706"/>
      <c r="B19" s="720" t="s">
        <v>609</v>
      </c>
      <c r="C19" s="710">
        <f>SUM(C21:C23)</f>
        <v>3999987</v>
      </c>
      <c r="D19" s="710">
        <f>SUM(D21:D23)</f>
        <v>0</v>
      </c>
      <c r="E19" s="710">
        <f>SUM(E21:E23)</f>
        <v>3999987</v>
      </c>
      <c r="F19" s="710">
        <f>SUM(F21:F23)</f>
        <v>0</v>
      </c>
    </row>
    <row r="20" spans="1:6" ht="12.75">
      <c r="A20" s="743"/>
      <c r="B20" s="713" t="s">
        <v>213</v>
      </c>
      <c r="C20" s="714"/>
      <c r="D20" s="714"/>
      <c r="E20" s="714"/>
      <c r="F20" s="714"/>
    </row>
    <row r="21" spans="1:6" s="703" customFormat="1" ht="15" customHeight="1">
      <c r="A21" s="756">
        <v>17722</v>
      </c>
      <c r="B21" s="717" t="s">
        <v>636</v>
      </c>
      <c r="C21" s="769"/>
      <c r="D21" s="769"/>
      <c r="E21" s="769"/>
      <c r="F21" s="714"/>
    </row>
    <row r="22" spans="1:6" ht="12.75">
      <c r="A22" s="756"/>
      <c r="B22" s="717" t="s">
        <v>637</v>
      </c>
      <c r="C22" s="769">
        <v>3999987</v>
      </c>
      <c r="D22" s="769">
        <v>0</v>
      </c>
      <c r="E22" s="769">
        <v>3999987</v>
      </c>
      <c r="F22" s="714">
        <f>C22-D22-E22</f>
        <v>0</v>
      </c>
    </row>
    <row r="23" spans="1:6" ht="13.5" thickBot="1">
      <c r="A23" s="750"/>
      <c r="B23" s="717"/>
      <c r="C23" s="719"/>
      <c r="D23" s="719"/>
      <c r="E23" s="719"/>
      <c r="F23" s="719"/>
    </row>
    <row r="24" spans="1:6" ht="13.5" thickBot="1">
      <c r="A24" s="706"/>
      <c r="B24" s="723" t="s">
        <v>542</v>
      </c>
      <c r="C24" s="710">
        <f>SUM(C26:C26)</f>
        <v>0</v>
      </c>
      <c r="D24" s="710">
        <f>SUM(D26:D26)</f>
        <v>0</v>
      </c>
      <c r="E24" s="710">
        <f>SUM(E26:E26)</f>
        <v>0</v>
      </c>
      <c r="F24" s="710">
        <f>SUM(F26:F26)</f>
        <v>0</v>
      </c>
    </row>
    <row r="25" spans="1:6" ht="12.75">
      <c r="A25" s="743"/>
      <c r="B25" s="716" t="s">
        <v>213</v>
      </c>
      <c r="C25" s="714"/>
      <c r="D25" s="714"/>
      <c r="E25" s="714"/>
      <c r="F25" s="714"/>
    </row>
    <row r="26" spans="1:6" ht="13.5" thickBot="1">
      <c r="A26" s="770"/>
      <c r="B26" s="718"/>
      <c r="C26" s="719"/>
      <c r="D26" s="719"/>
      <c r="E26" s="719"/>
      <c r="F26" s="719"/>
    </row>
    <row r="27" spans="1:7" ht="26.25" thickBot="1">
      <c r="A27" s="770"/>
      <c r="B27" s="725" t="s">
        <v>611</v>
      </c>
      <c r="C27" s="719">
        <f>C13+C19+C24</f>
        <v>6717581.5</v>
      </c>
      <c r="D27" s="719">
        <f>D13+D19+D24</f>
        <v>0</v>
      </c>
      <c r="E27" s="719">
        <f>E13+E19+E24</f>
        <v>6717581.5</v>
      </c>
      <c r="F27" s="719">
        <f>F13+F19+F24</f>
        <v>0</v>
      </c>
      <c r="G27" s="771"/>
    </row>
    <row r="28" ht="12.75">
      <c r="B28" s="587"/>
    </row>
    <row r="29" spans="1:2" ht="12.75">
      <c r="A29" s="587" t="s">
        <v>217</v>
      </c>
      <c r="B29" s="587"/>
    </row>
    <row r="30" spans="1:7" ht="13.5">
      <c r="A30" s="772" t="s">
        <v>623</v>
      </c>
      <c r="B30" s="587"/>
      <c r="C30" s="592"/>
      <c r="D30" s="592"/>
      <c r="E30" s="592"/>
      <c r="F30" s="592"/>
      <c r="G30" s="592"/>
    </row>
    <row r="31" spans="1:2" ht="13.5">
      <c r="A31" s="729" t="s">
        <v>624</v>
      </c>
      <c r="B31" s="587"/>
    </row>
    <row r="32" spans="1:2" ht="12.75">
      <c r="A32" s="588" t="s">
        <v>612</v>
      </c>
      <c r="B32" s="587"/>
    </row>
    <row r="33" spans="1:2" ht="12.75">
      <c r="A33" s="587" t="s">
        <v>220</v>
      </c>
      <c r="B33" s="587"/>
    </row>
    <row r="34" spans="1:2" ht="12.75">
      <c r="A34" s="587" t="s">
        <v>613</v>
      </c>
      <c r="B34" s="587"/>
    </row>
    <row r="35" spans="1:2" ht="12.75">
      <c r="A35" s="587" t="s">
        <v>222</v>
      </c>
      <c r="B35" s="587"/>
    </row>
    <row r="36" spans="1:2" ht="12.75">
      <c r="A36" s="587" t="s">
        <v>614</v>
      </c>
      <c r="B36" s="587"/>
    </row>
    <row r="37" ht="12.75">
      <c r="A37" s="587"/>
    </row>
    <row r="38" ht="12.75">
      <c r="A38" s="587"/>
    </row>
    <row r="39" ht="12.75">
      <c r="A39" s="730" t="s">
        <v>532</v>
      </c>
    </row>
    <row r="40" ht="12.75">
      <c r="A40" s="403"/>
    </row>
    <row r="41" spans="1:6" ht="12.75">
      <c r="A41" s="688" t="s">
        <v>533</v>
      </c>
      <c r="B41" s="688" t="s">
        <v>615</v>
      </c>
      <c r="E41" s="688" t="s">
        <v>535</v>
      </c>
      <c r="F41" s="688" t="s">
        <v>536</v>
      </c>
    </row>
    <row r="42" spans="1:6" ht="12.75">
      <c r="A42" s="830" t="s">
        <v>616</v>
      </c>
      <c r="B42" s="830"/>
      <c r="E42" s="830" t="s">
        <v>617</v>
      </c>
      <c r="F42" s="815"/>
    </row>
  </sheetData>
  <mergeCells count="4">
    <mergeCell ref="A7:F7"/>
    <mergeCell ref="A8:F8"/>
    <mergeCell ref="E42:F42"/>
    <mergeCell ref="A42:B42"/>
  </mergeCells>
  <printOptions horizontalCentered="1"/>
  <pageMargins left="1.14" right="0.2755905511811024" top="0.76" bottom="0.2362204724409449" header="0.48" footer="0.2362204724409449"/>
  <pageSetup horizontalDpi="300" verticalDpi="300" orientation="landscape" paperSize="9" scale="80" r:id="rId1"/>
  <headerFooter alignWithMargins="0">
    <oddHeader>&amp;R&amp;"Arial CE,Tučné"&amp;11Příloha č. 8</oddHeader>
    <oddFooter>&amp;C42</oddFooter>
  </headerFooter>
</worksheet>
</file>

<file path=xl/worksheets/sheet25.xml><?xml version="1.0" encoding="utf-8"?>
<worksheet xmlns="http://schemas.openxmlformats.org/spreadsheetml/2006/main" xmlns:r="http://schemas.openxmlformats.org/officeDocument/2006/relationships">
  <dimension ref="A1:G39"/>
  <sheetViews>
    <sheetView workbookViewId="0" topLeftCell="A1">
      <selection activeCell="B26" sqref="B26"/>
    </sheetView>
  </sheetViews>
  <sheetFormatPr defaultColWidth="9.00390625" defaultRowHeight="12.75"/>
  <cols>
    <col min="1" max="1" width="8.125" style="688" customWidth="1"/>
    <col min="2" max="2" width="55.375" style="688" customWidth="1"/>
    <col min="3" max="3" width="17.00390625" style="688" customWidth="1"/>
    <col min="4" max="4" width="17.25390625" style="688" customWidth="1"/>
    <col min="5" max="5" width="17.75390625" style="688" customWidth="1"/>
    <col min="6" max="6" width="17.625" style="688" customWidth="1"/>
    <col min="7" max="7" width="13.375" style="688" customWidth="1"/>
    <col min="8" max="16384" width="9.125" style="688" customWidth="1"/>
  </cols>
  <sheetData>
    <row r="1" spans="1:6" ht="12.75">
      <c r="A1" s="689"/>
      <c r="E1" s="592" t="s">
        <v>603</v>
      </c>
      <c r="F1" s="592"/>
    </row>
    <row r="2" spans="1:3" ht="12.75">
      <c r="A2" s="691"/>
      <c r="B2" s="766"/>
      <c r="C2" s="663"/>
    </row>
    <row r="3" spans="1:3" ht="12.75">
      <c r="A3" s="688" t="s">
        <v>618</v>
      </c>
      <c r="C3" s="692" t="s">
        <v>156</v>
      </c>
    </row>
    <row r="4" spans="1:3" ht="14.25">
      <c r="A4" s="688" t="s">
        <v>619</v>
      </c>
      <c r="C4" s="692" t="s">
        <v>638</v>
      </c>
    </row>
    <row r="5" ht="12.75">
      <c r="A5" s="688" t="s">
        <v>620</v>
      </c>
    </row>
    <row r="7" spans="1:6" ht="14.25">
      <c r="A7" s="827" t="s">
        <v>621</v>
      </c>
      <c r="B7" s="827"/>
      <c r="C7" s="827"/>
      <c r="D7" s="827"/>
      <c r="E7" s="827"/>
      <c r="F7" s="827"/>
    </row>
    <row r="8" spans="1:6" ht="12.75">
      <c r="A8" s="828" t="s">
        <v>622</v>
      </c>
      <c r="B8" s="829"/>
      <c r="C8" s="829"/>
      <c r="D8" s="829"/>
      <c r="E8" s="829"/>
      <c r="F8" s="829"/>
    </row>
    <row r="9" spans="1:6" ht="12.75">
      <c r="A9" s="767"/>
      <c r="B9" s="768"/>
      <c r="C9" s="768"/>
      <c r="D9" s="768"/>
      <c r="E9" s="768"/>
      <c r="F9" s="768"/>
    </row>
    <row r="10" ht="13.5" thickBot="1">
      <c r="F10" s="694" t="s">
        <v>100</v>
      </c>
    </row>
    <row r="11" spans="1:7" s="703" customFormat="1" ht="64.5" thickBot="1">
      <c r="A11" s="732" t="s">
        <v>102</v>
      </c>
      <c r="B11" s="732" t="s">
        <v>109</v>
      </c>
      <c r="C11" s="732" t="s">
        <v>605</v>
      </c>
      <c r="D11" s="732" t="s">
        <v>606</v>
      </c>
      <c r="E11" s="732" t="s">
        <v>554</v>
      </c>
      <c r="F11" s="732" t="s">
        <v>607</v>
      </c>
      <c r="G11" s="702"/>
    </row>
    <row r="12" spans="1:6" ht="13.5" thickBot="1">
      <c r="A12" s="704" t="s">
        <v>208</v>
      </c>
      <c r="B12" s="706" t="s">
        <v>209</v>
      </c>
      <c r="C12" s="706">
        <v>1</v>
      </c>
      <c r="D12" s="706">
        <v>2</v>
      </c>
      <c r="E12" s="706">
        <v>3</v>
      </c>
      <c r="F12" s="704" t="s">
        <v>211</v>
      </c>
    </row>
    <row r="13" spans="1:6" ht="13.5" thickBot="1">
      <c r="A13" s="706"/>
      <c r="B13" s="709" t="s">
        <v>212</v>
      </c>
      <c r="C13" s="710">
        <f>SUM(C15:C17)</f>
        <v>42717</v>
      </c>
      <c r="D13" s="710">
        <f>SUM(D15:D17)</f>
        <v>0</v>
      </c>
      <c r="E13" s="710">
        <f>SUM(E15:E17)</f>
        <v>42717</v>
      </c>
      <c r="F13" s="710">
        <f>C13-D13-E13</f>
        <v>0</v>
      </c>
    </row>
    <row r="14" spans="1:6" ht="12.75">
      <c r="A14" s="743"/>
      <c r="B14" s="713" t="s">
        <v>213</v>
      </c>
      <c r="C14" s="714"/>
      <c r="D14" s="714"/>
      <c r="E14" s="714"/>
      <c r="F14" s="715"/>
    </row>
    <row r="15" spans="1:6" ht="12.75">
      <c r="A15" s="743">
        <v>13101</v>
      </c>
      <c r="B15" s="716" t="s">
        <v>639</v>
      </c>
      <c r="C15" s="714">
        <v>42717</v>
      </c>
      <c r="D15" s="714">
        <v>0</v>
      </c>
      <c r="E15" s="714">
        <v>42717</v>
      </c>
      <c r="F15" s="714">
        <f>C15-D15-E15</f>
        <v>0</v>
      </c>
    </row>
    <row r="16" spans="1:6" ht="12.75">
      <c r="A16" s="743"/>
      <c r="B16" s="717"/>
      <c r="C16" s="714"/>
      <c r="D16" s="714"/>
      <c r="E16" s="714"/>
      <c r="F16" s="714"/>
    </row>
    <row r="17" spans="1:6" ht="13.5" thickBot="1">
      <c r="A17" s="750"/>
      <c r="B17" s="718"/>
      <c r="C17" s="719"/>
      <c r="D17" s="719"/>
      <c r="E17" s="719"/>
      <c r="F17" s="719"/>
    </row>
    <row r="18" spans="1:6" ht="13.5" thickBot="1">
      <c r="A18" s="706"/>
      <c r="B18" s="720" t="s">
        <v>609</v>
      </c>
      <c r="C18" s="710">
        <f>SUM(C20:C20)</f>
        <v>0</v>
      </c>
      <c r="D18" s="710">
        <f>SUM(D20:D20)</f>
        <v>0</v>
      </c>
      <c r="E18" s="710">
        <f>SUM(E20:E20)</f>
        <v>0</v>
      </c>
      <c r="F18" s="710">
        <f>SUM(F20:F20)</f>
        <v>0</v>
      </c>
    </row>
    <row r="19" spans="1:6" ht="12.75">
      <c r="A19" s="743"/>
      <c r="B19" s="713" t="s">
        <v>213</v>
      </c>
      <c r="C19" s="714"/>
      <c r="D19" s="714"/>
      <c r="E19" s="714"/>
      <c r="F19" s="714"/>
    </row>
    <row r="20" spans="1:6" ht="13.5" thickBot="1">
      <c r="A20" s="750"/>
      <c r="B20" s="717"/>
      <c r="C20" s="719"/>
      <c r="D20" s="719"/>
      <c r="E20" s="719"/>
      <c r="F20" s="719"/>
    </row>
    <row r="21" spans="1:6" ht="13.5" thickBot="1">
      <c r="A21" s="706"/>
      <c r="B21" s="723" t="s">
        <v>542</v>
      </c>
      <c r="C21" s="710">
        <f>SUM(C23:C23)</f>
        <v>0</v>
      </c>
      <c r="D21" s="710">
        <f>SUM(D23:D23)</f>
        <v>0</v>
      </c>
      <c r="E21" s="710">
        <f>SUM(E23:E23)</f>
        <v>0</v>
      </c>
      <c r="F21" s="710">
        <f>SUM(F23:F23)</f>
        <v>0</v>
      </c>
    </row>
    <row r="22" spans="1:6" ht="12.75">
      <c r="A22" s="743"/>
      <c r="B22" s="716" t="s">
        <v>213</v>
      </c>
      <c r="C22" s="714"/>
      <c r="D22" s="714"/>
      <c r="E22" s="714"/>
      <c r="F22" s="714"/>
    </row>
    <row r="23" spans="1:6" ht="13.5" thickBot="1">
      <c r="A23" s="770"/>
      <c r="B23" s="718"/>
      <c r="C23" s="719"/>
      <c r="D23" s="719"/>
      <c r="E23" s="719"/>
      <c r="F23" s="719"/>
    </row>
    <row r="24" spans="1:7" ht="26.25" thickBot="1">
      <c r="A24" s="770"/>
      <c r="B24" s="725" t="s">
        <v>611</v>
      </c>
      <c r="C24" s="719">
        <f>C13+C18+C21</f>
        <v>42717</v>
      </c>
      <c r="D24" s="719">
        <f>D13+D18+D21</f>
        <v>0</v>
      </c>
      <c r="E24" s="719">
        <f>E13+E18+E21</f>
        <v>42717</v>
      </c>
      <c r="F24" s="719">
        <f>F13+F18+F21</f>
        <v>0</v>
      </c>
      <c r="G24" s="771"/>
    </row>
    <row r="25" ht="12.75">
      <c r="B25" s="587"/>
    </row>
    <row r="26" spans="1:2" ht="12.75">
      <c r="A26" s="587" t="s">
        <v>217</v>
      </c>
      <c r="B26" s="587"/>
    </row>
    <row r="27" spans="1:7" ht="13.5">
      <c r="A27" s="772" t="s">
        <v>623</v>
      </c>
      <c r="B27" s="587"/>
      <c r="C27" s="592"/>
      <c r="D27" s="592"/>
      <c r="E27" s="592"/>
      <c r="F27" s="592"/>
      <c r="G27" s="592"/>
    </row>
    <row r="28" spans="1:2" ht="13.5">
      <c r="A28" s="729" t="s">
        <v>624</v>
      </c>
      <c r="B28" s="587"/>
    </row>
    <row r="29" spans="1:2" ht="12.75">
      <c r="A29" s="588" t="s">
        <v>612</v>
      </c>
      <c r="B29" s="587"/>
    </row>
    <row r="30" spans="1:2" ht="12.75">
      <c r="A30" s="587" t="s">
        <v>220</v>
      </c>
      <c r="B30" s="587"/>
    </row>
    <row r="31" spans="1:2" ht="12.75">
      <c r="A31" s="587" t="s">
        <v>613</v>
      </c>
      <c r="B31" s="587"/>
    </row>
    <row r="32" spans="1:2" ht="12.75">
      <c r="A32" s="587" t="s">
        <v>222</v>
      </c>
      <c r="B32" s="587"/>
    </row>
    <row r="33" spans="1:2" ht="12.75">
      <c r="A33" s="587" t="s">
        <v>614</v>
      </c>
      <c r="B33" s="587"/>
    </row>
    <row r="34" ht="12.75">
      <c r="A34" s="587"/>
    </row>
    <row r="35" ht="12.75">
      <c r="A35" s="587"/>
    </row>
    <row r="36" ht="12.75">
      <c r="A36" s="730" t="s">
        <v>532</v>
      </c>
    </row>
    <row r="37" ht="12.75">
      <c r="A37" s="403"/>
    </row>
    <row r="38" spans="1:6" ht="12.75">
      <c r="A38" s="688" t="s">
        <v>533</v>
      </c>
      <c r="B38" s="688" t="s">
        <v>615</v>
      </c>
      <c r="E38" s="688" t="s">
        <v>535</v>
      </c>
      <c r="F38" s="688" t="s">
        <v>536</v>
      </c>
    </row>
    <row r="39" spans="1:6" ht="12.75">
      <c r="A39" s="830" t="s">
        <v>616</v>
      </c>
      <c r="B39" s="830"/>
      <c r="E39" s="830" t="s">
        <v>617</v>
      </c>
      <c r="F39" s="815"/>
    </row>
  </sheetData>
  <mergeCells count="4">
    <mergeCell ref="A7:F7"/>
    <mergeCell ref="A8:F8"/>
    <mergeCell ref="E39:F39"/>
    <mergeCell ref="A39:B39"/>
  </mergeCells>
  <printOptions horizontalCentered="1"/>
  <pageMargins left="1.14" right="0.2755905511811024" top="0.6" bottom="0.2362204724409449" header="0.33" footer="0.2362204724409449"/>
  <pageSetup horizontalDpi="300" verticalDpi="300" orientation="landscape" paperSize="9" scale="80" r:id="rId1"/>
  <headerFooter alignWithMargins="0">
    <oddHeader>&amp;R&amp;"Arial CE,Tučné"&amp;11Příloha č. 8</oddHeader>
    <oddFooter>&amp;C43</oddFooter>
  </headerFooter>
</worksheet>
</file>

<file path=xl/worksheets/sheet26.xml><?xml version="1.0" encoding="utf-8"?>
<worksheet xmlns="http://schemas.openxmlformats.org/spreadsheetml/2006/main" xmlns:r="http://schemas.openxmlformats.org/officeDocument/2006/relationships">
  <dimension ref="A1:G48"/>
  <sheetViews>
    <sheetView workbookViewId="0" topLeftCell="A13">
      <selection activeCell="A28" sqref="A28"/>
    </sheetView>
  </sheetViews>
  <sheetFormatPr defaultColWidth="9.00390625" defaultRowHeight="12.75"/>
  <cols>
    <col min="1" max="1" width="8.125" style="688" customWidth="1"/>
    <col min="2" max="2" width="55.375" style="688" customWidth="1"/>
    <col min="3" max="3" width="17.00390625" style="688" customWidth="1"/>
    <col min="4" max="4" width="17.25390625" style="688" customWidth="1"/>
    <col min="5" max="5" width="17.75390625" style="688" customWidth="1"/>
    <col min="6" max="6" width="17.625" style="688" customWidth="1"/>
    <col min="7" max="7" width="13.375" style="688" customWidth="1"/>
    <col min="8" max="16384" width="9.125" style="688" customWidth="1"/>
  </cols>
  <sheetData>
    <row r="1" spans="1:6" ht="12.75">
      <c r="A1" s="689"/>
      <c r="E1" s="592" t="s">
        <v>603</v>
      </c>
      <c r="F1" s="592"/>
    </row>
    <row r="2" spans="1:3" ht="12.75">
      <c r="A2" s="691"/>
      <c r="B2" s="766"/>
      <c r="C2" s="663"/>
    </row>
    <row r="3" spans="1:3" ht="12.75">
      <c r="A3" s="688" t="s">
        <v>618</v>
      </c>
      <c r="C3" s="692" t="s">
        <v>156</v>
      </c>
    </row>
    <row r="4" spans="1:3" ht="14.25">
      <c r="A4" s="688" t="s">
        <v>619</v>
      </c>
      <c r="C4" s="692" t="s">
        <v>551</v>
      </c>
    </row>
    <row r="5" ht="12.75">
      <c r="A5" s="688" t="s">
        <v>620</v>
      </c>
    </row>
    <row r="7" spans="1:6" ht="14.25">
      <c r="A7" s="827" t="s">
        <v>621</v>
      </c>
      <c r="B7" s="827"/>
      <c r="C7" s="827"/>
      <c r="D7" s="827"/>
      <c r="E7" s="827"/>
      <c r="F7" s="827"/>
    </row>
    <row r="8" spans="1:6" ht="12.75">
      <c r="A8" s="828" t="s">
        <v>622</v>
      </c>
      <c r="B8" s="829"/>
      <c r="C8" s="829"/>
      <c r="D8" s="829"/>
      <c r="E8" s="829"/>
      <c r="F8" s="829"/>
    </row>
    <row r="9" spans="1:6" ht="12.75">
      <c r="A9" s="767"/>
      <c r="B9" s="768"/>
      <c r="C9" s="768"/>
      <c r="D9" s="768"/>
      <c r="E9" s="768"/>
      <c r="F9" s="768"/>
    </row>
    <row r="10" ht="13.5" thickBot="1">
      <c r="F10" s="694" t="s">
        <v>100</v>
      </c>
    </row>
    <row r="11" spans="1:7" s="703" customFormat="1" ht="64.5" thickBot="1">
      <c r="A11" s="732" t="s">
        <v>102</v>
      </c>
      <c r="B11" s="732" t="s">
        <v>109</v>
      </c>
      <c r="C11" s="732" t="s">
        <v>605</v>
      </c>
      <c r="D11" s="732" t="s">
        <v>606</v>
      </c>
      <c r="E11" s="732" t="s">
        <v>554</v>
      </c>
      <c r="F11" s="732" t="s">
        <v>607</v>
      </c>
      <c r="G11" s="702"/>
    </row>
    <row r="12" spans="1:6" ht="13.5" thickBot="1">
      <c r="A12" s="704" t="s">
        <v>208</v>
      </c>
      <c r="B12" s="706" t="s">
        <v>209</v>
      </c>
      <c r="C12" s="706">
        <v>1</v>
      </c>
      <c r="D12" s="706">
        <v>2</v>
      </c>
      <c r="E12" s="706">
        <v>3</v>
      </c>
      <c r="F12" s="704" t="s">
        <v>211</v>
      </c>
    </row>
    <row r="13" spans="1:6" ht="13.5" thickBot="1">
      <c r="A13" s="706"/>
      <c r="B13" s="709" t="s">
        <v>212</v>
      </c>
      <c r="C13" s="710">
        <f>SUM(C15:C16)</f>
        <v>1496000</v>
      </c>
      <c r="D13" s="710">
        <f>SUM(D15:D16)</f>
        <v>0</v>
      </c>
      <c r="E13" s="710">
        <f>SUM(E15:E16)</f>
        <v>1286000</v>
      </c>
      <c r="F13" s="710">
        <f>SUM(F15:F16)</f>
        <v>210000</v>
      </c>
    </row>
    <row r="14" spans="1:6" ht="12.75">
      <c r="A14" s="743"/>
      <c r="B14" s="713" t="s">
        <v>213</v>
      </c>
      <c r="C14" s="714"/>
      <c r="D14" s="714"/>
      <c r="E14" s="714"/>
      <c r="F14" s="715"/>
    </row>
    <row r="15" spans="1:6" ht="12.75">
      <c r="A15" s="743">
        <v>34054</v>
      </c>
      <c r="B15" s="716" t="s">
        <v>640</v>
      </c>
      <c r="C15" s="714">
        <v>1496000</v>
      </c>
      <c r="D15" s="714">
        <v>0</v>
      </c>
      <c r="E15" s="714">
        <v>1286000</v>
      </c>
      <c r="F15" s="714">
        <f>C15-D15-E15</f>
        <v>210000</v>
      </c>
    </row>
    <row r="16" spans="1:6" ht="13.5" thickBot="1">
      <c r="A16" s="750"/>
      <c r="B16" s="718"/>
      <c r="C16" s="719"/>
      <c r="D16" s="719"/>
      <c r="E16" s="719"/>
      <c r="F16" s="719"/>
    </row>
    <row r="17" spans="1:6" ht="13.5" thickBot="1">
      <c r="A17" s="706"/>
      <c r="B17" s="720" t="s">
        <v>609</v>
      </c>
      <c r="C17" s="710">
        <f>SUM(C19:C23)</f>
        <v>41056302</v>
      </c>
      <c r="D17" s="710">
        <f>SUM(D19:D23)</f>
        <v>158420.6</v>
      </c>
      <c r="E17" s="710">
        <f>SUM(E19:E23)</f>
        <v>40897881.4</v>
      </c>
      <c r="F17" s="710">
        <f>SUM(F19:F23)</f>
        <v>0</v>
      </c>
    </row>
    <row r="18" spans="1:6" ht="12.75">
      <c r="A18" s="743"/>
      <c r="B18" s="713" t="s">
        <v>213</v>
      </c>
      <c r="C18" s="714"/>
      <c r="D18" s="714"/>
      <c r="E18" s="714"/>
      <c r="F18" s="714"/>
    </row>
    <row r="19" spans="1:6" s="703" customFormat="1" ht="15" customHeight="1">
      <c r="A19" s="743">
        <v>34668</v>
      </c>
      <c r="B19" s="717" t="s">
        <v>641</v>
      </c>
      <c r="C19" s="769">
        <v>1056302</v>
      </c>
      <c r="D19" s="769">
        <v>0</v>
      </c>
      <c r="E19" s="769">
        <v>1056302</v>
      </c>
      <c r="F19" s="714">
        <f>C19-D19-E19</f>
        <v>0</v>
      </c>
    </row>
    <row r="20" spans="1:6" s="703" customFormat="1" ht="15" customHeight="1">
      <c r="A20" s="743">
        <v>34668</v>
      </c>
      <c r="B20" s="717" t="s">
        <v>642</v>
      </c>
      <c r="C20" s="769"/>
      <c r="D20" s="769"/>
      <c r="E20" s="769"/>
      <c r="F20" s="714"/>
    </row>
    <row r="21" spans="1:6" ht="12.75">
      <c r="A21" s="743"/>
      <c r="B21" s="717" t="s">
        <v>637</v>
      </c>
      <c r="C21" s="714">
        <v>20000000</v>
      </c>
      <c r="D21" s="714">
        <v>0</v>
      </c>
      <c r="E21" s="714">
        <v>20000000</v>
      </c>
      <c r="F21" s="714">
        <f>C21-D21-E21</f>
        <v>0</v>
      </c>
    </row>
    <row r="22" spans="1:6" ht="12.75">
      <c r="A22" s="743">
        <v>34668</v>
      </c>
      <c r="B22" s="717" t="s">
        <v>643</v>
      </c>
      <c r="C22" s="714"/>
      <c r="D22" s="714"/>
      <c r="E22" s="714"/>
      <c r="F22" s="714"/>
    </row>
    <row r="23" spans="1:6" ht="13.5" thickBot="1">
      <c r="A23" s="743"/>
      <c r="B23" s="717" t="s">
        <v>637</v>
      </c>
      <c r="C23" s="719">
        <v>20000000</v>
      </c>
      <c r="D23" s="719">
        <v>158420.6</v>
      </c>
      <c r="E23" s="719">
        <v>19841579.4</v>
      </c>
      <c r="F23" s="719">
        <f>C23-D23-E23</f>
        <v>0</v>
      </c>
    </row>
    <row r="24" spans="1:6" ht="13.5" thickBot="1">
      <c r="A24" s="706"/>
      <c r="B24" s="723" t="s">
        <v>542</v>
      </c>
      <c r="C24" s="710">
        <f>SUM(C26:C26)</f>
        <v>0</v>
      </c>
      <c r="D24" s="710">
        <f>SUM(D26:D26)</f>
        <v>0</v>
      </c>
      <c r="E24" s="710">
        <f>SUM(E26:E26)</f>
        <v>0</v>
      </c>
      <c r="F24" s="710">
        <f>SUM(F26:F26)</f>
        <v>0</v>
      </c>
    </row>
    <row r="25" spans="1:6" ht="12.75">
      <c r="A25" s="743"/>
      <c r="B25" s="716" t="s">
        <v>213</v>
      </c>
      <c r="C25" s="714"/>
      <c r="D25" s="714"/>
      <c r="E25" s="714"/>
      <c r="F25" s="714"/>
    </row>
    <row r="26" spans="1:6" ht="13.5" thickBot="1">
      <c r="A26" s="770"/>
      <c r="B26" s="718"/>
      <c r="C26" s="719"/>
      <c r="D26" s="719"/>
      <c r="E26" s="719"/>
      <c r="F26" s="719"/>
    </row>
    <row r="27" spans="1:7" ht="26.25" thickBot="1">
      <c r="A27" s="770"/>
      <c r="B27" s="725" t="s">
        <v>611</v>
      </c>
      <c r="C27" s="719">
        <f>C13+C17+C24</f>
        <v>42552302</v>
      </c>
      <c r="D27" s="719">
        <f>D13+D17+D24</f>
        <v>158420.6</v>
      </c>
      <c r="E27" s="719">
        <f>E13+E17+E24</f>
        <v>42183881.4</v>
      </c>
      <c r="F27" s="719">
        <f>F13+F17+F24</f>
        <v>210000</v>
      </c>
      <c r="G27" s="771"/>
    </row>
    <row r="28" ht="5.25" customHeight="1">
      <c r="B28" s="587"/>
    </row>
    <row r="29" spans="1:2" ht="12.75">
      <c r="A29" s="587" t="s">
        <v>217</v>
      </c>
      <c r="B29" s="587"/>
    </row>
    <row r="30" spans="1:7" ht="13.5">
      <c r="A30" s="772" t="s">
        <v>623</v>
      </c>
      <c r="B30" s="587"/>
      <c r="C30" s="592"/>
      <c r="D30" s="592"/>
      <c r="E30" s="592"/>
      <c r="F30" s="592"/>
      <c r="G30" s="592"/>
    </row>
    <row r="31" spans="1:2" ht="13.5">
      <c r="A31" s="729" t="s">
        <v>624</v>
      </c>
      <c r="B31" s="587"/>
    </row>
    <row r="32" spans="1:2" ht="12.75">
      <c r="A32" s="588" t="s">
        <v>612</v>
      </c>
      <c r="B32" s="587"/>
    </row>
    <row r="33" spans="1:2" ht="12.75">
      <c r="A33" s="587" t="s">
        <v>220</v>
      </c>
      <c r="B33" s="587"/>
    </row>
    <row r="34" spans="1:2" ht="12.75">
      <c r="A34" s="587" t="s">
        <v>613</v>
      </c>
      <c r="B34" s="587"/>
    </row>
    <row r="35" spans="1:2" ht="12.75">
      <c r="A35" s="587" t="s">
        <v>222</v>
      </c>
      <c r="B35" s="587"/>
    </row>
    <row r="36" spans="1:2" ht="12.75">
      <c r="A36" s="587" t="s">
        <v>614</v>
      </c>
      <c r="B36" s="587"/>
    </row>
    <row r="37" ht="12.75" customHeight="1">
      <c r="A37" s="587"/>
    </row>
    <row r="38" ht="12.75">
      <c r="A38" s="730" t="s">
        <v>532</v>
      </c>
    </row>
    <row r="39" ht="12.75">
      <c r="A39" s="403"/>
    </row>
    <row r="40" spans="1:6" ht="12.75">
      <c r="A40" s="688" t="s">
        <v>533</v>
      </c>
      <c r="B40" s="688" t="s">
        <v>615</v>
      </c>
      <c r="E40" s="688" t="s">
        <v>535</v>
      </c>
      <c r="F40" s="688" t="s">
        <v>536</v>
      </c>
    </row>
    <row r="41" spans="1:6" ht="12.75">
      <c r="A41" s="830" t="s">
        <v>616</v>
      </c>
      <c r="B41" s="830"/>
      <c r="E41" s="830" t="s">
        <v>617</v>
      </c>
      <c r="F41" s="815"/>
    </row>
    <row r="43" ht="12.75">
      <c r="A43" s="688" t="s">
        <v>644</v>
      </c>
    </row>
    <row r="44" ht="12.75">
      <c r="A44" s="688" t="s">
        <v>645</v>
      </c>
    </row>
    <row r="45" ht="12.75">
      <c r="A45" s="688" t="s">
        <v>646</v>
      </c>
    </row>
    <row r="47" ht="12.75">
      <c r="A47" s="688" t="s">
        <v>647</v>
      </c>
    </row>
    <row r="48" ht="12.75">
      <c r="A48" s="688" t="s">
        <v>648</v>
      </c>
    </row>
  </sheetData>
  <mergeCells count="4">
    <mergeCell ref="A7:F7"/>
    <mergeCell ref="A8:F8"/>
    <mergeCell ref="E41:F41"/>
    <mergeCell ref="A41:B41"/>
  </mergeCells>
  <printOptions horizontalCentered="1"/>
  <pageMargins left="1.14" right="0.2755905511811024" top="0.44" bottom="0.2362204724409449" header="0.2" footer="0.2362204724409449"/>
  <pageSetup horizontalDpi="300" verticalDpi="300" orientation="landscape" paperSize="9" scale="80" r:id="rId1"/>
  <headerFooter alignWithMargins="0">
    <oddHeader>&amp;R&amp;"Arial CE,Tučné"&amp;11Příloha č. 8</oddHeader>
    <oddFooter>&amp;C44</oddFooter>
  </headerFooter>
</worksheet>
</file>

<file path=xl/worksheets/sheet27.xml><?xml version="1.0" encoding="utf-8"?>
<worksheet xmlns="http://schemas.openxmlformats.org/spreadsheetml/2006/main" xmlns:r="http://schemas.openxmlformats.org/officeDocument/2006/relationships">
  <dimension ref="A1:G41"/>
  <sheetViews>
    <sheetView workbookViewId="0" topLeftCell="A19">
      <selection activeCell="B43" sqref="B43"/>
    </sheetView>
  </sheetViews>
  <sheetFormatPr defaultColWidth="9.00390625" defaultRowHeight="12.75"/>
  <cols>
    <col min="1" max="1" width="9.125" style="736" customWidth="1"/>
    <col min="2" max="2" width="69.00390625" style="736" customWidth="1"/>
    <col min="3" max="3" width="16.25390625" style="736" customWidth="1"/>
    <col min="4" max="5" width="15.625" style="736" customWidth="1"/>
    <col min="6" max="6" width="17.00390625" style="736" customWidth="1"/>
    <col min="7" max="16384" width="9.125" style="736" customWidth="1"/>
  </cols>
  <sheetData>
    <row r="1" spans="2:5" ht="12.75">
      <c r="B1" s="737"/>
      <c r="C1" s="737"/>
      <c r="E1" s="592" t="s">
        <v>603</v>
      </c>
    </row>
    <row r="2" spans="2:3" ht="12.75">
      <c r="B2" s="692"/>
      <c r="C2" s="663"/>
    </row>
    <row r="3" spans="1:3" ht="12.75">
      <c r="A3" s="688" t="s">
        <v>649</v>
      </c>
      <c r="C3" s="692" t="s">
        <v>156</v>
      </c>
    </row>
    <row r="4" spans="1:3" ht="14.25">
      <c r="A4" s="688" t="s">
        <v>657</v>
      </c>
      <c r="C4" s="692" t="s">
        <v>650</v>
      </c>
    </row>
    <row r="5" spans="1:3" ht="12.75">
      <c r="A5" s="688" t="s">
        <v>651</v>
      </c>
      <c r="C5" s="688"/>
    </row>
    <row r="6" spans="2:3" ht="12.75">
      <c r="B6" s="688"/>
      <c r="C6" s="688"/>
    </row>
    <row r="7" spans="1:7" ht="14.25">
      <c r="A7" s="826" t="s">
        <v>658</v>
      </c>
      <c r="B7" s="826"/>
      <c r="C7" s="826"/>
      <c r="D7" s="826"/>
      <c r="E7" s="826"/>
      <c r="F7" s="826"/>
      <c r="G7" s="661"/>
    </row>
    <row r="8" spans="1:6" ht="12.75">
      <c r="A8" s="813" t="s">
        <v>659</v>
      </c>
      <c r="B8" s="826"/>
      <c r="C8" s="826"/>
      <c r="D8" s="826"/>
      <c r="E8" s="826"/>
      <c r="F8" s="826"/>
    </row>
    <row r="9" spans="2:5" ht="12.75">
      <c r="B9" s="826"/>
      <c r="C9" s="826"/>
      <c r="D9" s="826"/>
      <c r="E9" s="826"/>
    </row>
    <row r="10" spans="5:6" ht="13.5" thickBot="1">
      <c r="E10" s="738"/>
      <c r="F10" s="694" t="s">
        <v>100</v>
      </c>
    </row>
    <row r="11" spans="1:6" ht="64.5" thickBot="1">
      <c r="A11" s="695" t="s">
        <v>203</v>
      </c>
      <c r="B11" s="700" t="s">
        <v>109</v>
      </c>
      <c r="C11" s="739" t="s">
        <v>579</v>
      </c>
      <c r="D11" s="701" t="s">
        <v>580</v>
      </c>
      <c r="E11" s="701" t="s">
        <v>581</v>
      </c>
      <c r="F11" s="701" t="s">
        <v>582</v>
      </c>
    </row>
    <row r="12" spans="1:6" ht="13.5" thickBot="1">
      <c r="A12" s="704" t="s">
        <v>208</v>
      </c>
      <c r="B12" s="706" t="s">
        <v>209</v>
      </c>
      <c r="C12" s="706">
        <v>1</v>
      </c>
      <c r="D12" s="706">
        <v>2</v>
      </c>
      <c r="E12" s="706">
        <v>3</v>
      </c>
      <c r="F12" s="704">
        <v>4</v>
      </c>
    </row>
    <row r="13" spans="1:6" ht="13.5" thickBot="1">
      <c r="A13" s="706"/>
      <c r="B13" s="724" t="s">
        <v>583</v>
      </c>
      <c r="C13" s="741">
        <f>SUM(C15:C15)</f>
        <v>0</v>
      </c>
      <c r="D13" s="741">
        <f>SUM(D15:D15)</f>
        <v>0</v>
      </c>
      <c r="E13" s="741">
        <f>SUM(E15:E15)</f>
        <v>0</v>
      </c>
      <c r="F13" s="741">
        <f>SUM(F15:F15)</f>
        <v>0</v>
      </c>
    </row>
    <row r="14" spans="1:6" ht="12.75">
      <c r="A14" s="743"/>
      <c r="B14" s="744" t="s">
        <v>584</v>
      </c>
      <c r="C14" s="745"/>
      <c r="D14" s="746"/>
      <c r="E14" s="746"/>
      <c r="F14" s="746"/>
    </row>
    <row r="15" spans="1:7" ht="12" customHeight="1" thickBot="1">
      <c r="A15" s="750"/>
      <c r="B15" s="742"/>
      <c r="C15" s="751"/>
      <c r="D15" s="751"/>
      <c r="E15" s="751"/>
      <c r="F15" s="752"/>
      <c r="G15" s="753"/>
    </row>
    <row r="16" spans="1:6" ht="15" thickBot="1">
      <c r="A16" s="706"/>
      <c r="B16" s="754" t="s">
        <v>660</v>
      </c>
      <c r="C16" s="751">
        <f>SUM(C18:C23)</f>
        <v>23959000</v>
      </c>
      <c r="D16" s="751">
        <f>SUM(D18:D23)</f>
        <v>67829437.25</v>
      </c>
      <c r="E16" s="751">
        <f>SUM(E18:E23)</f>
        <v>67829437.25</v>
      </c>
      <c r="F16" s="751">
        <f>SUM(F18:F23)</f>
        <v>0</v>
      </c>
    </row>
    <row r="17" spans="1:6" ht="12" customHeight="1">
      <c r="A17" s="743"/>
      <c r="B17" s="744" t="s">
        <v>584</v>
      </c>
      <c r="C17" s="748"/>
      <c r="D17" s="748"/>
      <c r="E17" s="748"/>
      <c r="F17" s="748"/>
    </row>
    <row r="18" spans="1:6" ht="12" customHeight="1">
      <c r="A18" s="755">
        <v>95738</v>
      </c>
      <c r="B18" s="747" t="s">
        <v>749</v>
      </c>
      <c r="C18" s="748"/>
      <c r="D18" s="748">
        <v>50320697.67</v>
      </c>
      <c r="E18" s="748">
        <v>50320697.67</v>
      </c>
      <c r="F18" s="748">
        <f aca="true" t="shared" si="0" ref="F18:F23">D18-E18</f>
        <v>0</v>
      </c>
    </row>
    <row r="19" spans="1:6" ht="12" customHeight="1">
      <c r="A19" s="755">
        <v>95739</v>
      </c>
      <c r="B19" s="747" t="s">
        <v>652</v>
      </c>
      <c r="C19" s="748">
        <v>9113000</v>
      </c>
      <c r="D19" s="748">
        <v>6759266.04</v>
      </c>
      <c r="E19" s="748">
        <v>6759266.04</v>
      </c>
      <c r="F19" s="748">
        <f t="shared" si="0"/>
        <v>0</v>
      </c>
    </row>
    <row r="20" spans="1:6" ht="12" customHeight="1">
      <c r="A20" s="755">
        <v>95739</v>
      </c>
      <c r="B20" s="747" t="s">
        <v>653</v>
      </c>
      <c r="C20" s="748">
        <v>6689000</v>
      </c>
      <c r="D20" s="748">
        <v>6097718.05</v>
      </c>
      <c r="E20" s="748">
        <v>6097718.05</v>
      </c>
      <c r="F20" s="748">
        <f t="shared" si="0"/>
        <v>0</v>
      </c>
    </row>
    <row r="21" spans="1:6" ht="12" customHeight="1">
      <c r="A21" s="755">
        <v>95739</v>
      </c>
      <c r="B21" s="747" t="s">
        <v>654</v>
      </c>
      <c r="C21" s="748">
        <v>8157000</v>
      </c>
      <c r="D21" s="748">
        <v>4651755.49</v>
      </c>
      <c r="E21" s="748">
        <v>4651755.49</v>
      </c>
      <c r="F21" s="748">
        <f t="shared" si="0"/>
        <v>0</v>
      </c>
    </row>
    <row r="22" spans="1:6" ht="12" customHeight="1">
      <c r="A22" s="756"/>
      <c r="B22" s="747"/>
      <c r="C22" s="748"/>
      <c r="D22" s="748"/>
      <c r="E22" s="748"/>
      <c r="F22" s="748">
        <f t="shared" si="0"/>
        <v>0</v>
      </c>
    </row>
    <row r="23" spans="1:6" ht="13.5" thickBot="1">
      <c r="A23" s="750"/>
      <c r="B23" s="757"/>
      <c r="C23" s="751"/>
      <c r="D23" s="751"/>
      <c r="E23" s="751"/>
      <c r="F23" s="751">
        <f t="shared" si="0"/>
        <v>0</v>
      </c>
    </row>
    <row r="24" spans="1:6" ht="13.5" thickBot="1">
      <c r="A24" s="706"/>
      <c r="B24" s="758" t="s">
        <v>590</v>
      </c>
      <c r="C24" s="759">
        <f>C13+C16</f>
        <v>23959000</v>
      </c>
      <c r="D24" s="759">
        <f>D13+D16</f>
        <v>67829437.25</v>
      </c>
      <c r="E24" s="759">
        <f>E13+E16</f>
        <v>67829437.25</v>
      </c>
      <c r="F24" s="759">
        <f>F13+F16</f>
        <v>0</v>
      </c>
    </row>
    <row r="25" spans="1:5" ht="12" customHeight="1">
      <c r="A25" s="760"/>
      <c r="B25" s="526"/>
      <c r="C25" s="526"/>
      <c r="D25" s="761"/>
      <c r="E25" s="761"/>
    </row>
    <row r="26" spans="1:5" ht="12.75">
      <c r="A26" s="587" t="s">
        <v>217</v>
      </c>
      <c r="C26" s="587"/>
      <c r="D26" s="762"/>
      <c r="E26" s="762"/>
    </row>
    <row r="27" spans="1:5" ht="13.5">
      <c r="A27" s="772" t="s">
        <v>661</v>
      </c>
      <c r="C27" s="587"/>
      <c r="D27" s="762"/>
      <c r="E27" s="762"/>
    </row>
    <row r="28" spans="1:6" ht="12.75">
      <c r="A28" s="587" t="s">
        <v>655</v>
      </c>
      <c r="C28" s="587"/>
      <c r="D28" s="762"/>
      <c r="E28" s="762"/>
      <c r="F28" s="775"/>
    </row>
    <row r="29" spans="1:6" ht="13.5">
      <c r="A29" s="729" t="s">
        <v>662</v>
      </c>
      <c r="C29" s="729"/>
      <c r="D29" s="762"/>
      <c r="E29" s="762"/>
      <c r="F29" s="775"/>
    </row>
    <row r="30" spans="1:6" ht="13.5">
      <c r="A30" s="588" t="s">
        <v>612</v>
      </c>
      <c r="C30" s="729"/>
      <c r="D30" s="762"/>
      <c r="E30" s="762"/>
      <c r="F30" s="775"/>
    </row>
    <row r="31" spans="1:5" ht="12.75">
      <c r="A31" s="588" t="s">
        <v>592</v>
      </c>
      <c r="C31" s="587"/>
      <c r="D31" s="762"/>
      <c r="E31" s="762"/>
    </row>
    <row r="32" spans="1:5" ht="12.75">
      <c r="A32" s="587" t="s">
        <v>656</v>
      </c>
      <c r="C32" s="587"/>
      <c r="D32" s="762"/>
      <c r="E32" s="762"/>
    </row>
    <row r="33" spans="1:5" ht="12.75">
      <c r="A33" s="587" t="s">
        <v>594</v>
      </c>
      <c r="C33" s="763"/>
      <c r="D33" s="762"/>
      <c r="E33" s="762"/>
    </row>
    <row r="34" spans="1:5" ht="12.75">
      <c r="A34" s="587" t="s">
        <v>595</v>
      </c>
      <c r="C34" s="763"/>
      <c r="D34" s="762"/>
      <c r="E34" s="762"/>
    </row>
    <row r="35" spans="1:5" ht="12.75">
      <c r="A35" s="587"/>
      <c r="C35" s="763"/>
      <c r="D35" s="762"/>
      <c r="E35" s="762"/>
    </row>
    <row r="36" spans="1:5" ht="12.75">
      <c r="A36" s="587" t="s">
        <v>596</v>
      </c>
      <c r="C36" s="763"/>
      <c r="D36" s="762"/>
      <c r="E36" s="762"/>
    </row>
    <row r="37" spans="1:6" ht="42.75" customHeight="1">
      <c r="A37" s="831" t="s">
        <v>663</v>
      </c>
      <c r="B37" s="832"/>
      <c r="C37" s="832"/>
      <c r="D37" s="832"/>
      <c r="E37" s="832"/>
      <c r="F37" s="832"/>
    </row>
    <row r="38" spans="2:5" ht="12.75">
      <c r="B38" s="587"/>
      <c r="C38" s="587"/>
      <c r="D38" s="762"/>
      <c r="E38" s="762"/>
    </row>
    <row r="39" spans="2:5" ht="12.75">
      <c r="B39" s="764"/>
      <c r="C39" s="764"/>
      <c r="D39" s="762"/>
      <c r="E39" s="762"/>
    </row>
    <row r="40" spans="2:6" ht="12.75">
      <c r="B40" s="688" t="s">
        <v>598</v>
      </c>
      <c r="C40" s="688"/>
      <c r="D40" s="688"/>
      <c r="E40" s="688" t="s">
        <v>535</v>
      </c>
      <c r="F40" s="736" t="s">
        <v>550</v>
      </c>
    </row>
    <row r="41" spans="2:6" ht="12.75">
      <c r="B41" s="688" t="s">
        <v>599</v>
      </c>
      <c r="C41" s="688"/>
      <c r="D41" s="688"/>
      <c r="E41" s="688" t="s">
        <v>537</v>
      </c>
      <c r="F41" s="765">
        <v>39113</v>
      </c>
    </row>
  </sheetData>
  <mergeCells count="4">
    <mergeCell ref="B9:E9"/>
    <mergeCell ref="A7:F7"/>
    <mergeCell ref="A8:F8"/>
    <mergeCell ref="A37:F37"/>
  </mergeCells>
  <printOptions horizontalCentered="1"/>
  <pageMargins left="0.6299212598425197" right="0.2362204724409449" top="0.72" bottom="0.16" header="0.41" footer="0.51"/>
  <pageSetup horizontalDpi="600" verticalDpi="600" orientation="landscape" paperSize="9" scale="80" r:id="rId1"/>
  <headerFooter alignWithMargins="0">
    <oddHeader>&amp;R&amp;"Arial CE,Tučné"&amp;11Příloha č. 8</oddHeader>
    <oddFooter>&amp;C45</oddFooter>
  </headerFooter>
</worksheet>
</file>

<file path=xl/worksheets/sheet3.xml><?xml version="1.0" encoding="utf-8"?>
<worksheet xmlns="http://schemas.openxmlformats.org/spreadsheetml/2006/main" xmlns:r="http://schemas.openxmlformats.org/officeDocument/2006/relationships">
  <sheetPr codeName="List4"/>
  <dimension ref="A1:J10"/>
  <sheetViews>
    <sheetView workbookViewId="0" topLeftCell="A1">
      <pane xSplit="1" ySplit="1" topLeftCell="C3" activePane="bottomRight" state="frozen"/>
      <selection pane="topLeft" activeCell="A1" sqref="A1"/>
      <selection pane="topRight" activeCell="B1" sqref="B1"/>
      <selection pane="bottomLeft" activeCell="A2" sqref="A2"/>
      <selection pane="bottomRight" activeCell="C10" sqref="C10"/>
    </sheetView>
  </sheetViews>
  <sheetFormatPr defaultColWidth="9.00390625" defaultRowHeight="12.75" outlineLevelCol="1"/>
  <cols>
    <col min="1" max="1" width="19.75390625" style="9" customWidth="1"/>
    <col min="2" max="2" width="13.25390625" style="9" hidden="1" customWidth="1" outlineLevel="1"/>
    <col min="3" max="3" width="13.25390625" style="14" customWidth="1" collapsed="1"/>
    <col min="4" max="4" width="15.75390625" style="62" hidden="1" customWidth="1" outlineLevel="1"/>
    <col min="5" max="5" width="15.00390625" style="62" hidden="1" customWidth="1" outlineLevel="1"/>
    <col min="6" max="6" width="14.125" style="9" customWidth="1" collapsed="1"/>
    <col min="7" max="7" width="13.25390625" style="9" customWidth="1"/>
    <col min="8" max="8" width="6.375" style="9" customWidth="1"/>
    <col min="9" max="9" width="12.625" style="9" hidden="1" customWidth="1" outlineLevel="1"/>
    <col min="10" max="10" width="69.375" style="9" customWidth="1" collapsed="1"/>
    <col min="11" max="16384" width="9.125" style="9" customWidth="1"/>
  </cols>
  <sheetData>
    <row r="1" spans="1:10" s="3" customFormat="1" ht="53.25" customHeight="1" thickBot="1">
      <c r="A1" s="43" t="s">
        <v>432</v>
      </c>
      <c r="B1" s="43" t="s">
        <v>433</v>
      </c>
      <c r="C1" s="43" t="s">
        <v>434</v>
      </c>
      <c r="D1" s="43" t="str">
        <f>'[5]Sumář P+V+F'!C1</f>
        <v>Upravený rozpočet                                        k 19.12. 2006</v>
      </c>
      <c r="E1" s="44" t="s">
        <v>435</v>
      </c>
      <c r="F1" s="43" t="str">
        <f>'[5]Sumář P+V+F'!E1</f>
        <v>Upravený rozpočet                                        k 27.12. 2006</v>
      </c>
      <c r="G1" s="43" t="str">
        <f>'[5]Sumář P+V+F'!F1</f>
        <v>Čerpání                                                      k 31. 12. 2006</v>
      </c>
      <c r="H1" s="43" t="s">
        <v>436</v>
      </c>
      <c r="I1" s="43" t="s">
        <v>455</v>
      </c>
      <c r="J1" s="43" t="s">
        <v>437</v>
      </c>
    </row>
    <row r="2" spans="1:10" ht="48.75" customHeight="1">
      <c r="A2" s="45" t="s">
        <v>438</v>
      </c>
      <c r="B2" s="46" t="s">
        <v>439</v>
      </c>
      <c r="C2" s="47">
        <v>18000000</v>
      </c>
      <c r="D2" s="48">
        <f>18100000+2788137</f>
        <v>20888137</v>
      </c>
      <c r="E2" s="48">
        <v>9450</v>
      </c>
      <c r="F2" s="47">
        <f aca="true" t="shared" si="0" ref="F2:F8">D2+E2</f>
        <v>20897587</v>
      </c>
      <c r="G2" s="47">
        <v>20897587</v>
      </c>
      <c r="H2" s="47">
        <f aca="true" t="shared" si="1" ref="H2:H9">G2/F2*100</f>
        <v>100</v>
      </c>
      <c r="I2" s="47"/>
      <c r="J2" s="49" t="s">
        <v>456</v>
      </c>
    </row>
    <row r="3" spans="1:10" ht="52.5" customHeight="1">
      <c r="A3" s="50" t="s">
        <v>440</v>
      </c>
      <c r="B3" s="51" t="s">
        <v>441</v>
      </c>
      <c r="C3" s="47">
        <v>76000000</v>
      </c>
      <c r="D3" s="48">
        <f>78332138.91+1532000+2510000+9021083</f>
        <v>91395221.91</v>
      </c>
      <c r="E3" s="48"/>
      <c r="F3" s="47">
        <f t="shared" si="0"/>
        <v>91395221.91</v>
      </c>
      <c r="G3" s="47">
        <v>91395221.91</v>
      </c>
      <c r="H3" s="47">
        <f t="shared" si="1"/>
        <v>100</v>
      </c>
      <c r="I3" s="47"/>
      <c r="J3" s="49" t="s">
        <v>457</v>
      </c>
    </row>
    <row r="4" spans="1:10" ht="45" customHeight="1">
      <c r="A4" s="50" t="s">
        <v>442</v>
      </c>
      <c r="B4" s="51" t="s">
        <v>443</v>
      </c>
      <c r="C4" s="47">
        <v>3500000</v>
      </c>
      <c r="D4" s="48">
        <f>C4</f>
        <v>3500000</v>
      </c>
      <c r="E4" s="48"/>
      <c r="F4" s="47">
        <f t="shared" si="0"/>
        <v>3500000</v>
      </c>
      <c r="G4" s="47">
        <v>3500000</v>
      </c>
      <c r="H4" s="47">
        <f t="shared" si="1"/>
        <v>100</v>
      </c>
      <c r="I4" s="47"/>
      <c r="J4" s="52"/>
    </row>
    <row r="5" spans="1:10" ht="66.75" customHeight="1">
      <c r="A5" s="50" t="s">
        <v>444</v>
      </c>
      <c r="B5" s="51" t="s">
        <v>445</v>
      </c>
      <c r="C5" s="47">
        <v>31550000</v>
      </c>
      <c r="D5" s="48">
        <v>33724000</v>
      </c>
      <c r="E5" s="48"/>
      <c r="F5" s="47">
        <f t="shared" si="0"/>
        <v>33724000</v>
      </c>
      <c r="G5" s="47">
        <v>33724000</v>
      </c>
      <c r="H5" s="47">
        <f t="shared" si="1"/>
        <v>100</v>
      </c>
      <c r="I5" s="47"/>
      <c r="J5" s="53" t="s">
        <v>458</v>
      </c>
    </row>
    <row r="6" spans="1:10" ht="45" customHeight="1">
      <c r="A6" s="50" t="s">
        <v>446</v>
      </c>
      <c r="B6" s="51" t="s">
        <v>447</v>
      </c>
      <c r="C6" s="47">
        <v>16269000</v>
      </c>
      <c r="D6" s="48">
        <f>18081000+607887</f>
        <v>18688887</v>
      </c>
      <c r="E6" s="48"/>
      <c r="F6" s="47">
        <f t="shared" si="0"/>
        <v>18688887</v>
      </c>
      <c r="G6" s="47">
        <v>18688887</v>
      </c>
      <c r="H6" s="47">
        <f t="shared" si="1"/>
        <v>100</v>
      </c>
      <c r="I6" s="47"/>
      <c r="J6" s="53" t="s">
        <v>448</v>
      </c>
    </row>
    <row r="7" spans="1:10" ht="45" customHeight="1">
      <c r="A7" s="50" t="s">
        <v>449</v>
      </c>
      <c r="B7" s="51" t="s">
        <v>450</v>
      </c>
      <c r="C7" s="47">
        <v>2850000</v>
      </c>
      <c r="D7" s="48">
        <f>C7+504000+350000</f>
        <v>3704000</v>
      </c>
      <c r="E7" s="48"/>
      <c r="F7" s="47">
        <f t="shared" si="0"/>
        <v>3704000</v>
      </c>
      <c r="G7" s="47">
        <v>3704000</v>
      </c>
      <c r="H7" s="47">
        <f t="shared" si="1"/>
        <v>100</v>
      </c>
      <c r="I7" s="47"/>
      <c r="J7" s="53" t="s">
        <v>451</v>
      </c>
    </row>
    <row r="8" spans="1:10" ht="66" customHeight="1" thickBot="1">
      <c r="A8" s="50" t="s">
        <v>452</v>
      </c>
      <c r="B8" s="51" t="s">
        <v>453</v>
      </c>
      <c r="C8" s="47">
        <v>0</v>
      </c>
      <c r="D8" s="48">
        <f>1592796+1792174+20840+1899678</f>
        <v>5305488</v>
      </c>
      <c r="E8" s="48">
        <v>152122</v>
      </c>
      <c r="F8" s="47">
        <f t="shared" si="0"/>
        <v>5457610</v>
      </c>
      <c r="G8" s="47">
        <v>5457610</v>
      </c>
      <c r="H8" s="47">
        <f t="shared" si="1"/>
        <v>100</v>
      </c>
      <c r="I8" s="47"/>
      <c r="J8" s="53" t="s">
        <v>459</v>
      </c>
    </row>
    <row r="9" spans="1:10" ht="31.5" customHeight="1" thickBot="1">
      <c r="A9" s="54" t="s">
        <v>454</v>
      </c>
      <c r="B9" s="55"/>
      <c r="C9" s="56">
        <f>SUM(C2:C8)</f>
        <v>148169000</v>
      </c>
      <c r="D9" s="57">
        <f>SUM(D2:D8)</f>
        <v>177205733.91</v>
      </c>
      <c r="E9" s="58">
        <f>SUM(E2:E8)</f>
        <v>161572</v>
      </c>
      <c r="F9" s="56">
        <f>SUM(F2:F8)</f>
        <v>177367305.91</v>
      </c>
      <c r="G9" s="56">
        <f>SUM(G2:G8)</f>
        <v>177367305.91</v>
      </c>
      <c r="H9" s="56">
        <f t="shared" si="1"/>
        <v>100</v>
      </c>
      <c r="I9" s="56">
        <f>SUM(I2:I8)</f>
        <v>0</v>
      </c>
      <c r="J9" s="59"/>
    </row>
    <row r="10" spans="1:5" ht="59.25" customHeight="1">
      <c r="A10" s="30"/>
      <c r="B10" s="30"/>
      <c r="C10" s="60"/>
      <c r="D10" s="61"/>
      <c r="E10" s="61"/>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printOptions gridLines="1" horizontalCentered="1" verticalCentered="1"/>
  <pageMargins left="0.3937007874015748" right="0.3937007874015748" top="1.23" bottom="1.11" header="0.68" footer="0.7874015748031497"/>
  <pageSetup firstPageNumber="7" useFirstPageNumber="1" horizontalDpi="600" verticalDpi="600" orientation="landscape" paperSize="9" scale="95" r:id="rId1"/>
  <headerFooter alignWithMargins="0">
    <oddHeader>&amp;Lv Kč&amp;C&amp;"Arial CE,Tučné"&amp;12Sumář příspěvkových organizací v roce 2006 
provozní část&amp;R&amp;"Arial CE,Tučné"&amp;11Příloha č. 2</oddHeader>
    <oddFooter>&amp;C&amp;P</oddFooter>
  </headerFooter>
</worksheet>
</file>

<file path=xl/worksheets/sheet4.xml><?xml version="1.0" encoding="utf-8"?>
<worksheet xmlns="http://schemas.openxmlformats.org/spreadsheetml/2006/main" xmlns:r="http://schemas.openxmlformats.org/officeDocument/2006/relationships">
  <dimension ref="A1:P73"/>
  <sheetViews>
    <sheetView workbookViewId="0" topLeftCell="A1">
      <pane xSplit="1" ySplit="1" topLeftCell="F47" activePane="bottomRight" state="frozen"/>
      <selection pane="topLeft" activeCell="A1" sqref="A1"/>
      <selection pane="topRight" activeCell="B1" sqref="B1"/>
      <selection pane="bottomLeft" activeCell="A2" sqref="A2"/>
      <selection pane="bottomRight" activeCell="J2" sqref="J2:J5"/>
    </sheetView>
  </sheetViews>
  <sheetFormatPr defaultColWidth="9.00390625" defaultRowHeight="24.75" customHeight="1" outlineLevelCol="1"/>
  <cols>
    <col min="1" max="1" width="18.75390625" style="9" customWidth="1"/>
    <col min="2" max="2" width="6.00390625" style="9" customWidth="1"/>
    <col min="3" max="3" width="5.875" style="9" customWidth="1"/>
    <col min="4" max="4" width="8.875" style="9" customWidth="1"/>
    <col min="5" max="5" width="22.75390625" style="35" customWidth="1"/>
    <col min="6" max="6" width="13.75390625" style="171" customWidth="1"/>
    <col min="7" max="7" width="13.75390625" style="171" hidden="1" customWidth="1" outlineLevel="1"/>
    <col min="8" max="8" width="11.25390625" style="171" hidden="1" customWidth="1" outlineLevel="1"/>
    <col min="9" max="9" width="13.75390625" style="171" customWidth="1" collapsed="1"/>
    <col min="10" max="10" width="13.00390625" style="171" customWidth="1"/>
    <col min="11" max="11" width="5.875" style="171" customWidth="1"/>
    <col min="12" max="13" width="9.75390625" style="171" hidden="1" customWidth="1" outlineLevel="1"/>
    <col min="14" max="14" width="42.375" style="168" customWidth="1" collapsed="1"/>
    <col min="15" max="15" width="9.125" style="9" customWidth="1"/>
    <col min="16" max="16" width="9.125" style="9" customWidth="1" collapsed="1"/>
    <col min="17" max="17" width="9.125" style="9" customWidth="1"/>
    <col min="18" max="18" width="9.125" style="9" customWidth="1" collapsed="1"/>
    <col min="19" max="19" width="9.125" style="9" customWidth="1"/>
    <col min="20" max="20" width="9.125" style="9" customWidth="1" collapsed="1"/>
    <col min="21" max="21" width="9.125" style="9" customWidth="1"/>
    <col min="22" max="22" width="9.125" style="9" customWidth="1" collapsed="1"/>
    <col min="23" max="23" width="9.125" style="9" customWidth="1"/>
    <col min="24" max="42" width="9.125" style="9" customWidth="1" collapsed="1"/>
    <col min="43" max="16384" width="9.125" style="9" customWidth="1"/>
  </cols>
  <sheetData>
    <row r="1" spans="1:15" ht="49.5" customHeight="1">
      <c r="A1" s="63" t="s">
        <v>460</v>
      </c>
      <c r="B1" s="64" t="s">
        <v>461</v>
      </c>
      <c r="C1" s="64" t="s">
        <v>462</v>
      </c>
      <c r="D1" s="64" t="s">
        <v>463</v>
      </c>
      <c r="E1" s="64" t="s">
        <v>464</v>
      </c>
      <c r="F1" s="65" t="str">
        <f>'[4]Sumář P+V+F'!B1</f>
        <v>Schválený rozpočet                              roku 2006</v>
      </c>
      <c r="G1" s="65" t="str">
        <f>'[2]Př.6 Rekapitulace P+V+F'!C1</f>
        <v>Upravený rozpočet                                        k 11. 12. 2006</v>
      </c>
      <c r="H1" s="65" t="str">
        <f>'[2]Př.6 Rekapitulace P+V+F'!D1</f>
        <v>Změna</v>
      </c>
      <c r="I1" s="65" t="str">
        <f>'[2]Př.6 Rekapitulace P+V+F'!E1</f>
        <v>Upravený rozpočet                                        k 27. 12. 2006</v>
      </c>
      <c r="J1" s="65" t="str">
        <f>'[2]Př.6 Rekapitulace P+V+F'!F1</f>
        <v>Čerpání                                                      k 31. 12. 2006</v>
      </c>
      <c r="K1" s="65" t="str">
        <f>'[3]Sumář P+V+F'!G1</f>
        <v>% čerpání</v>
      </c>
      <c r="L1" s="65" t="s">
        <v>530</v>
      </c>
      <c r="M1" s="65" t="s">
        <v>465</v>
      </c>
      <c r="N1" s="66" t="s">
        <v>437</v>
      </c>
      <c r="O1" s="67"/>
    </row>
    <row r="2" spans="1:16" ht="13.5" customHeight="1">
      <c r="A2" s="69" t="s">
        <v>466</v>
      </c>
      <c r="B2" s="70">
        <v>2212</v>
      </c>
      <c r="C2" s="70">
        <v>5169</v>
      </c>
      <c r="D2" s="70" t="s">
        <v>467</v>
      </c>
      <c r="E2" s="71" t="s">
        <v>468</v>
      </c>
      <c r="F2" s="72">
        <v>53000000</v>
      </c>
      <c r="G2" s="72">
        <v>73594567</v>
      </c>
      <c r="H2" s="73">
        <v>1000000</v>
      </c>
      <c r="I2" s="72">
        <f>SUM(G2:H2)</f>
        <v>74594567</v>
      </c>
      <c r="J2" s="794">
        <v>77750362</v>
      </c>
      <c r="K2" s="794">
        <v>98.74</v>
      </c>
      <c r="L2" s="73"/>
      <c r="M2" s="73"/>
      <c r="N2" s="68" t="s">
        <v>469</v>
      </c>
      <c r="P2" s="14"/>
    </row>
    <row r="3" spans="1:16" ht="13.5" customHeight="1">
      <c r="A3" s="69"/>
      <c r="B3" s="70"/>
      <c r="C3" s="70"/>
      <c r="D3" s="70"/>
      <c r="E3" s="71"/>
      <c r="F3" s="74"/>
      <c r="G3" s="74"/>
      <c r="H3" s="75"/>
      <c r="I3" s="74"/>
      <c r="J3" s="795"/>
      <c r="K3" s="795"/>
      <c r="L3" s="76"/>
      <c r="M3" s="76"/>
      <c r="N3" s="36"/>
      <c r="P3" s="14"/>
    </row>
    <row r="4" spans="1:16" ht="13.5" customHeight="1">
      <c r="A4" s="77" t="s">
        <v>466</v>
      </c>
      <c r="B4" s="78">
        <v>2212</v>
      </c>
      <c r="C4" s="78">
        <v>5169</v>
      </c>
      <c r="D4" s="78" t="s">
        <v>467</v>
      </c>
      <c r="E4" s="79" t="s">
        <v>470</v>
      </c>
      <c r="F4" s="80">
        <v>350000</v>
      </c>
      <c r="G4" s="80">
        <v>350000</v>
      </c>
      <c r="H4" s="81"/>
      <c r="I4" s="80">
        <f aca="true" t="shared" si="0" ref="I4:I13">SUM(G4:H4)</f>
        <v>350000</v>
      </c>
      <c r="J4" s="795"/>
      <c r="K4" s="795"/>
      <c r="L4" s="76"/>
      <c r="M4" s="76"/>
      <c r="N4" s="82" t="s">
        <v>471</v>
      </c>
      <c r="P4" s="14"/>
    </row>
    <row r="5" spans="1:16" ht="13.5" customHeight="1">
      <c r="A5" s="77" t="s">
        <v>466</v>
      </c>
      <c r="B5" s="78">
        <v>2212</v>
      </c>
      <c r="C5" s="78">
        <v>5169</v>
      </c>
      <c r="D5" s="78" t="s">
        <v>467</v>
      </c>
      <c r="E5" s="79" t="s">
        <v>472</v>
      </c>
      <c r="F5" s="80">
        <v>3800000</v>
      </c>
      <c r="G5" s="80">
        <v>3800000</v>
      </c>
      <c r="H5" s="81"/>
      <c r="I5" s="80">
        <f t="shared" si="0"/>
        <v>3800000</v>
      </c>
      <c r="J5" s="796"/>
      <c r="K5" s="796"/>
      <c r="L5" s="83"/>
      <c r="M5" s="83"/>
      <c r="N5" s="82" t="s">
        <v>471</v>
      </c>
      <c r="P5" s="14"/>
    </row>
    <row r="6" spans="1:16" ht="13.5" customHeight="1">
      <c r="A6" s="77" t="s">
        <v>466</v>
      </c>
      <c r="B6" s="78">
        <v>2212</v>
      </c>
      <c r="C6" s="78">
        <v>5169</v>
      </c>
      <c r="D6" s="78" t="s">
        <v>467</v>
      </c>
      <c r="E6" s="79" t="s">
        <v>473</v>
      </c>
      <c r="F6" s="80">
        <v>68000</v>
      </c>
      <c r="G6" s="80">
        <v>68000</v>
      </c>
      <c r="H6" s="81"/>
      <c r="I6" s="80">
        <f t="shared" si="0"/>
        <v>68000</v>
      </c>
      <c r="J6" s="81">
        <v>51000.3</v>
      </c>
      <c r="K6" s="81">
        <f>J6/I6*100</f>
        <v>75.00044117647059</v>
      </c>
      <c r="L6" s="81"/>
      <c r="M6" s="81"/>
      <c r="N6" s="82" t="s">
        <v>474</v>
      </c>
      <c r="P6" s="14"/>
    </row>
    <row r="7" spans="1:16" ht="13.5" customHeight="1">
      <c r="A7" s="77" t="s">
        <v>466</v>
      </c>
      <c r="B7" s="78">
        <v>2219</v>
      </c>
      <c r="C7" s="78">
        <v>5166</v>
      </c>
      <c r="D7" s="78" t="s">
        <v>467</v>
      </c>
      <c r="E7" s="79" t="s">
        <v>475</v>
      </c>
      <c r="F7" s="80">
        <v>240000</v>
      </c>
      <c r="G7" s="80">
        <v>240000</v>
      </c>
      <c r="H7" s="81"/>
      <c r="I7" s="80">
        <f t="shared" si="0"/>
        <v>240000</v>
      </c>
      <c r="J7" s="81">
        <v>240000</v>
      </c>
      <c r="K7" s="81">
        <f>J7/I7*100</f>
        <v>100</v>
      </c>
      <c r="L7" s="81"/>
      <c r="M7" s="81"/>
      <c r="N7" s="82" t="s">
        <v>471</v>
      </c>
      <c r="P7" s="14"/>
    </row>
    <row r="8" spans="1:16" ht="13.5" customHeight="1">
      <c r="A8" s="77" t="s">
        <v>466</v>
      </c>
      <c r="B8" s="78">
        <v>2221</v>
      </c>
      <c r="C8" s="78">
        <v>5193</v>
      </c>
      <c r="D8" s="84" t="s">
        <v>476</v>
      </c>
      <c r="E8" s="79" t="s">
        <v>477</v>
      </c>
      <c r="F8" s="80">
        <v>150000000</v>
      </c>
      <c r="G8" s="80">
        <v>152670750</v>
      </c>
      <c r="H8" s="81"/>
      <c r="I8" s="80">
        <f t="shared" si="0"/>
        <v>152670750</v>
      </c>
      <c r="J8" s="794">
        <v>162128497.5</v>
      </c>
      <c r="K8" s="794">
        <v>99.08</v>
      </c>
      <c r="L8" s="85"/>
      <c r="M8" s="85"/>
      <c r="N8" s="82" t="s">
        <v>478</v>
      </c>
      <c r="P8" s="14"/>
    </row>
    <row r="9" spans="1:16" ht="13.5" customHeight="1">
      <c r="A9" s="77" t="s">
        <v>466</v>
      </c>
      <c r="B9" s="78">
        <v>2221</v>
      </c>
      <c r="C9" s="78">
        <v>5193</v>
      </c>
      <c r="D9" s="78" t="s">
        <v>479</v>
      </c>
      <c r="E9" s="79" t="s">
        <v>477</v>
      </c>
      <c r="F9" s="80">
        <v>14000000</v>
      </c>
      <c r="G9" s="80">
        <v>8486000</v>
      </c>
      <c r="H9" s="81"/>
      <c r="I9" s="80">
        <f t="shared" si="0"/>
        <v>8486000</v>
      </c>
      <c r="J9" s="797"/>
      <c r="K9" s="795"/>
      <c r="L9" s="76"/>
      <c r="M9" s="76"/>
      <c r="N9" s="82" t="s">
        <v>478</v>
      </c>
      <c r="P9" s="14"/>
    </row>
    <row r="10" spans="1:16" ht="13.5" customHeight="1">
      <c r="A10" s="77" t="s">
        <v>466</v>
      </c>
      <c r="B10" s="78">
        <v>2221</v>
      </c>
      <c r="C10" s="78">
        <v>5193</v>
      </c>
      <c r="D10" s="78" t="s">
        <v>480</v>
      </c>
      <c r="E10" s="79" t="s">
        <v>481</v>
      </c>
      <c r="F10" s="80">
        <v>500000</v>
      </c>
      <c r="G10" s="80">
        <v>400000</v>
      </c>
      <c r="H10" s="81"/>
      <c r="I10" s="80">
        <f t="shared" si="0"/>
        <v>400000</v>
      </c>
      <c r="J10" s="797"/>
      <c r="K10" s="795"/>
      <c r="L10" s="76"/>
      <c r="M10" s="76"/>
      <c r="N10" s="82" t="s">
        <v>478</v>
      </c>
      <c r="P10" s="14"/>
    </row>
    <row r="11" spans="1:16" ht="13.5" customHeight="1">
      <c r="A11" s="77" t="s">
        <v>466</v>
      </c>
      <c r="B11" s="78">
        <v>2221</v>
      </c>
      <c r="C11" s="78">
        <v>5193</v>
      </c>
      <c r="D11" s="78" t="s">
        <v>480</v>
      </c>
      <c r="E11" s="79" t="s">
        <v>482</v>
      </c>
      <c r="F11" s="80">
        <v>70000</v>
      </c>
      <c r="G11" s="80">
        <v>70000</v>
      </c>
      <c r="H11" s="81"/>
      <c r="I11" s="80">
        <f t="shared" si="0"/>
        <v>70000</v>
      </c>
      <c r="J11" s="797"/>
      <c r="K11" s="795"/>
      <c r="L11" s="76"/>
      <c r="M11" s="76"/>
      <c r="N11" s="86" t="s">
        <v>478</v>
      </c>
      <c r="P11" s="14"/>
    </row>
    <row r="12" spans="1:16" ht="13.5" customHeight="1">
      <c r="A12" s="77" t="s">
        <v>466</v>
      </c>
      <c r="B12" s="78">
        <v>2221</v>
      </c>
      <c r="C12" s="78">
        <v>5193</v>
      </c>
      <c r="D12" s="78" t="s">
        <v>480</v>
      </c>
      <c r="E12" s="79" t="s">
        <v>483</v>
      </c>
      <c r="F12" s="80">
        <v>2000000</v>
      </c>
      <c r="G12" s="80">
        <v>2000000</v>
      </c>
      <c r="H12" s="81"/>
      <c r="I12" s="80">
        <f t="shared" si="0"/>
        <v>2000000</v>
      </c>
      <c r="J12" s="798"/>
      <c r="K12" s="796"/>
      <c r="L12" s="83"/>
      <c r="M12" s="83"/>
      <c r="N12" s="86" t="s">
        <v>478</v>
      </c>
      <c r="P12" s="14"/>
    </row>
    <row r="13" spans="1:16" ht="13.5" customHeight="1">
      <c r="A13" s="77" t="s">
        <v>466</v>
      </c>
      <c r="B13" s="78">
        <v>3631</v>
      </c>
      <c r="C13" s="78">
        <v>5169</v>
      </c>
      <c r="D13" s="78" t="s">
        <v>467</v>
      </c>
      <c r="E13" s="79" t="s">
        <v>484</v>
      </c>
      <c r="F13" s="80">
        <v>39700000</v>
      </c>
      <c r="G13" s="80">
        <v>39700000</v>
      </c>
      <c r="H13" s="81"/>
      <c r="I13" s="80">
        <f t="shared" si="0"/>
        <v>39700000</v>
      </c>
      <c r="J13" s="81">
        <v>39682112.6</v>
      </c>
      <c r="K13" s="81">
        <f>J13/I13*100</f>
        <v>99.95494357682621</v>
      </c>
      <c r="L13" s="81"/>
      <c r="M13" s="81"/>
      <c r="N13" s="82" t="s">
        <v>485</v>
      </c>
      <c r="P13" s="14"/>
    </row>
    <row r="14" spans="1:16" ht="19.5" customHeight="1" thickBot="1">
      <c r="A14" s="87" t="s">
        <v>486</v>
      </c>
      <c r="B14" s="88"/>
      <c r="C14" s="88"/>
      <c r="D14" s="88"/>
      <c r="E14" s="89"/>
      <c r="F14" s="90">
        <f>SUM(F2:F13)</f>
        <v>263728000</v>
      </c>
      <c r="G14" s="90">
        <f>SUM(G2:G13)</f>
        <v>281379317</v>
      </c>
      <c r="H14" s="90">
        <f>SUM(H2:H13)</f>
        <v>1000000</v>
      </c>
      <c r="I14" s="90">
        <f>SUM(I2:I13)</f>
        <v>282379317</v>
      </c>
      <c r="J14" s="90">
        <f>SUM(J2:J13)</f>
        <v>279851972.40000004</v>
      </c>
      <c r="K14" s="90">
        <f>J14/I14*100</f>
        <v>99.1049823950102</v>
      </c>
      <c r="L14" s="90">
        <f>SUM(L2:L13)</f>
        <v>0</v>
      </c>
      <c r="M14" s="90">
        <f>SUM(M2:M13)</f>
        <v>0</v>
      </c>
      <c r="N14" s="91"/>
      <c r="P14" s="92"/>
    </row>
    <row r="15" spans="1:16" s="67" customFormat="1" ht="13.5" customHeight="1" thickBot="1">
      <c r="A15" s="29"/>
      <c r="B15" s="29"/>
      <c r="C15" s="29"/>
      <c r="D15" s="29"/>
      <c r="E15" s="5"/>
      <c r="F15" s="7"/>
      <c r="G15" s="7"/>
      <c r="H15" s="7"/>
      <c r="I15" s="7"/>
      <c r="J15" s="7"/>
      <c r="K15" s="7"/>
      <c r="L15" s="7"/>
      <c r="M15" s="7"/>
      <c r="N15" s="5"/>
      <c r="P15" s="14"/>
    </row>
    <row r="16" spans="1:16" ht="13.5" customHeight="1">
      <c r="A16" s="93" t="s">
        <v>487</v>
      </c>
      <c r="B16" s="95">
        <v>2229</v>
      </c>
      <c r="C16" s="95">
        <v>5169</v>
      </c>
      <c r="D16" s="96" t="s">
        <v>467</v>
      </c>
      <c r="E16" s="791" t="s">
        <v>488</v>
      </c>
      <c r="F16" s="97">
        <v>50000</v>
      </c>
      <c r="G16" s="97">
        <v>50000</v>
      </c>
      <c r="H16" s="97"/>
      <c r="I16" s="97">
        <f>SUM(G16:H16)</f>
        <v>50000</v>
      </c>
      <c r="J16" s="97">
        <v>7223.3</v>
      </c>
      <c r="K16" s="97">
        <f>J16/I16*100</f>
        <v>14.446600000000002</v>
      </c>
      <c r="L16" s="97"/>
      <c r="M16" s="97"/>
      <c r="N16" s="98" t="s">
        <v>471</v>
      </c>
      <c r="P16" s="14"/>
    </row>
    <row r="17" spans="1:16" ht="13.5" customHeight="1">
      <c r="A17" s="99"/>
      <c r="B17" s="100"/>
      <c r="C17" s="100"/>
      <c r="D17" s="101"/>
      <c r="E17" s="696"/>
      <c r="F17" s="85"/>
      <c r="G17" s="85"/>
      <c r="H17" s="85"/>
      <c r="I17" s="85"/>
      <c r="J17" s="85"/>
      <c r="K17" s="85"/>
      <c r="L17" s="85"/>
      <c r="M17" s="85"/>
      <c r="N17" s="103"/>
      <c r="P17" s="14"/>
    </row>
    <row r="18" spans="1:16" ht="13.5" customHeight="1">
      <c r="A18" s="104"/>
      <c r="B18" s="78">
        <v>3421</v>
      </c>
      <c r="C18" s="78">
        <v>5169</v>
      </c>
      <c r="D18" s="78" t="s">
        <v>467</v>
      </c>
      <c r="E18" s="79" t="s">
        <v>489</v>
      </c>
      <c r="F18" s="85">
        <v>0</v>
      </c>
      <c r="G18" s="85">
        <v>300000</v>
      </c>
      <c r="H18" s="85"/>
      <c r="I18" s="85">
        <f>SUM(G18:H18)</f>
        <v>300000</v>
      </c>
      <c r="J18" s="85">
        <v>299880.2</v>
      </c>
      <c r="K18" s="80">
        <f>J18/I18*100</f>
        <v>99.96006666666666</v>
      </c>
      <c r="L18" s="6"/>
      <c r="M18" s="6"/>
      <c r="N18" s="105" t="s">
        <v>490</v>
      </c>
      <c r="P18" s="14"/>
    </row>
    <row r="19" spans="1:16" ht="19.5" customHeight="1" thickBot="1">
      <c r="A19" s="87" t="s">
        <v>491</v>
      </c>
      <c r="B19" s="88"/>
      <c r="C19" s="88"/>
      <c r="D19" s="88"/>
      <c r="E19" s="89"/>
      <c r="F19" s="90">
        <f>SUM(F16:F18)</f>
        <v>50000</v>
      </c>
      <c r="G19" s="90">
        <f>SUM(G16:G18)</f>
        <v>350000</v>
      </c>
      <c r="H19" s="90">
        <f>SUM(H16:H18)</f>
        <v>0</v>
      </c>
      <c r="I19" s="90">
        <f>SUM(I16:I18)</f>
        <v>350000</v>
      </c>
      <c r="J19" s="90">
        <f>SUM(J16:J18)</f>
        <v>307103.5</v>
      </c>
      <c r="K19" s="90">
        <f>J19/I19*100</f>
        <v>87.74385714285714</v>
      </c>
      <c r="L19" s="90">
        <f>SUM(L16:L18)</f>
        <v>0</v>
      </c>
      <c r="M19" s="90">
        <f>SUM(M16:M18)</f>
        <v>0</v>
      </c>
      <c r="N19" s="91"/>
      <c r="P19" s="14"/>
    </row>
    <row r="20" spans="1:16" s="67" customFormat="1" ht="13.5" customHeight="1" thickBot="1">
      <c r="A20" s="29"/>
      <c r="B20" s="29"/>
      <c r="C20" s="29"/>
      <c r="D20" s="29"/>
      <c r="E20" s="5"/>
      <c r="F20" s="7"/>
      <c r="G20" s="7"/>
      <c r="H20" s="7"/>
      <c r="I20" s="7"/>
      <c r="J20" s="7"/>
      <c r="K20" s="7"/>
      <c r="L20" s="7"/>
      <c r="M20" s="7"/>
      <c r="N20" s="5"/>
      <c r="P20" s="14"/>
    </row>
    <row r="21" spans="1:16" ht="13.5" customHeight="1">
      <c r="A21" s="106" t="s">
        <v>492</v>
      </c>
      <c r="B21" s="95">
        <v>3421</v>
      </c>
      <c r="C21" s="95">
        <v>5169</v>
      </c>
      <c r="D21" s="107" t="s">
        <v>467</v>
      </c>
      <c r="E21" s="108" t="s">
        <v>489</v>
      </c>
      <c r="F21" s="109">
        <v>300000</v>
      </c>
      <c r="G21" s="109">
        <v>0</v>
      </c>
      <c r="H21" s="109"/>
      <c r="I21" s="109">
        <f>SUM(G21:H21)</f>
        <v>0</v>
      </c>
      <c r="J21" s="109">
        <v>0</v>
      </c>
      <c r="K21" s="109">
        <v>0</v>
      </c>
      <c r="L21" s="109"/>
      <c r="M21" s="109"/>
      <c r="N21" s="98" t="s">
        <v>493</v>
      </c>
      <c r="P21" s="14"/>
    </row>
    <row r="22" spans="1:16" ht="19.5" customHeight="1" thickBot="1">
      <c r="A22" s="87" t="s">
        <v>494</v>
      </c>
      <c r="B22" s="88"/>
      <c r="C22" s="88"/>
      <c r="D22" s="88"/>
      <c r="E22" s="89"/>
      <c r="F22" s="90">
        <f>SUM(F21)</f>
        <v>300000</v>
      </c>
      <c r="G22" s="90">
        <f>SUM(G21)</f>
        <v>0</v>
      </c>
      <c r="H22" s="90">
        <f>SUM(H21)</f>
        <v>0</v>
      </c>
      <c r="I22" s="90">
        <f>SUM(I21)</f>
        <v>0</v>
      </c>
      <c r="J22" s="90">
        <f>SUM(J21)</f>
        <v>0</v>
      </c>
      <c r="K22" s="90">
        <v>0</v>
      </c>
      <c r="L22" s="90">
        <f>SUM(L21)</f>
        <v>0</v>
      </c>
      <c r="M22" s="90">
        <f>SUM(M21)</f>
        <v>0</v>
      </c>
      <c r="N22" s="91"/>
      <c r="P22" s="14"/>
    </row>
    <row r="23" spans="1:16" s="67" customFormat="1" ht="13.5" customHeight="1" thickBot="1">
      <c r="A23" s="110"/>
      <c r="B23" s="110"/>
      <c r="C23" s="110"/>
      <c r="D23" s="29"/>
      <c r="E23" s="5"/>
      <c r="F23" s="7"/>
      <c r="G23" s="7"/>
      <c r="H23" s="7"/>
      <c r="I23" s="7"/>
      <c r="J23" s="7"/>
      <c r="K23" s="7"/>
      <c r="L23" s="7"/>
      <c r="M23" s="7"/>
      <c r="N23" s="5"/>
      <c r="P23" s="14"/>
    </row>
    <row r="24" spans="1:16" ht="13.5" customHeight="1">
      <c r="A24" s="106" t="s">
        <v>495</v>
      </c>
      <c r="B24" s="95">
        <v>3745</v>
      </c>
      <c r="C24" s="95">
        <v>5169</v>
      </c>
      <c r="D24" s="96" t="s">
        <v>467</v>
      </c>
      <c r="E24" s="697" t="s">
        <v>496</v>
      </c>
      <c r="F24" s="109">
        <v>300000</v>
      </c>
      <c r="G24" s="109">
        <v>312000</v>
      </c>
      <c r="H24" s="109"/>
      <c r="I24" s="97">
        <f>SUM(G24:H24)</f>
        <v>312000</v>
      </c>
      <c r="J24" s="97">
        <v>307600.5</v>
      </c>
      <c r="K24" s="97">
        <f>J24/I24*100</f>
        <v>98.58990384615385</v>
      </c>
      <c r="L24" s="97"/>
      <c r="M24" s="97"/>
      <c r="N24" s="98" t="s">
        <v>471</v>
      </c>
      <c r="P24" s="14"/>
    </row>
    <row r="25" spans="1:16" ht="13.5" customHeight="1">
      <c r="A25" s="111"/>
      <c r="B25" s="112"/>
      <c r="C25" s="112"/>
      <c r="D25" s="113"/>
      <c r="E25" s="698"/>
      <c r="F25" s="73"/>
      <c r="G25" s="73"/>
      <c r="H25" s="73"/>
      <c r="I25" s="80"/>
      <c r="J25" s="80"/>
      <c r="K25" s="80"/>
      <c r="L25" s="73"/>
      <c r="M25" s="73"/>
      <c r="N25" s="114"/>
      <c r="P25" s="14"/>
    </row>
    <row r="26" spans="1:16" ht="13.5" customHeight="1">
      <c r="A26" s="115"/>
      <c r="B26" s="100">
        <v>6409</v>
      </c>
      <c r="C26" s="100">
        <v>5169</v>
      </c>
      <c r="D26" s="116" t="s">
        <v>467</v>
      </c>
      <c r="E26" s="117" t="s">
        <v>497</v>
      </c>
      <c r="F26" s="85">
        <v>700000</v>
      </c>
      <c r="G26" s="85">
        <v>700000</v>
      </c>
      <c r="H26" s="85"/>
      <c r="I26" s="118">
        <f>SUM(G26:H26)</f>
        <v>700000</v>
      </c>
      <c r="J26" s="118">
        <v>699999.6</v>
      </c>
      <c r="K26" s="81">
        <f>J26/I26*100</f>
        <v>99.99994285714286</v>
      </c>
      <c r="L26" s="85"/>
      <c r="M26" s="85"/>
      <c r="N26" s="103" t="s">
        <v>498</v>
      </c>
      <c r="P26" s="14"/>
    </row>
    <row r="27" spans="1:16" ht="19.5" customHeight="1">
      <c r="A27" s="119" t="s">
        <v>499</v>
      </c>
      <c r="B27" s="120"/>
      <c r="C27" s="120"/>
      <c r="D27" s="120"/>
      <c r="E27" s="121"/>
      <c r="F27" s="122">
        <f>SUM(F24:F26)</f>
        <v>1000000</v>
      </c>
      <c r="G27" s="122">
        <f>SUM(G24:G26)</f>
        <v>1012000</v>
      </c>
      <c r="H27" s="122">
        <f>SUM(H24:H26)</f>
        <v>0</v>
      </c>
      <c r="I27" s="122">
        <f>SUM(I24:I26)</f>
        <v>1012000</v>
      </c>
      <c r="J27" s="122">
        <f>SUM(J24:J26)</f>
        <v>1007600.1</v>
      </c>
      <c r="K27" s="122">
        <f>J27/I27*100</f>
        <v>99.56522727272727</v>
      </c>
      <c r="L27" s="122">
        <f>SUM(L24:L26)</f>
        <v>0</v>
      </c>
      <c r="M27" s="122">
        <f>SUM(M24:M26)</f>
        <v>0</v>
      </c>
      <c r="N27" s="123"/>
      <c r="P27" s="92"/>
    </row>
    <row r="28" spans="1:16" ht="13.5" customHeight="1">
      <c r="A28" s="124" t="s">
        <v>500</v>
      </c>
      <c r="B28" s="125">
        <v>2140</v>
      </c>
      <c r="C28" s="125">
        <v>5169</v>
      </c>
      <c r="D28" s="789" t="s">
        <v>501</v>
      </c>
      <c r="E28" s="126" t="s">
        <v>502</v>
      </c>
      <c r="F28" s="118">
        <v>24467000</v>
      </c>
      <c r="G28" s="118">
        <v>24467000</v>
      </c>
      <c r="H28" s="118"/>
      <c r="I28" s="118">
        <f>SUM(G28:H28)</f>
        <v>24467000</v>
      </c>
      <c r="J28" s="118">
        <v>24466653</v>
      </c>
      <c r="K28" s="118">
        <f>J28/I28*100</f>
        <v>99.99858176319124</v>
      </c>
      <c r="L28" s="118"/>
      <c r="M28" s="118"/>
      <c r="N28" s="127" t="s">
        <v>503</v>
      </c>
      <c r="P28" s="14"/>
    </row>
    <row r="29" spans="1:16" ht="13.5" customHeight="1">
      <c r="A29" s="128"/>
      <c r="B29" s="84"/>
      <c r="C29" s="84"/>
      <c r="D29" s="790"/>
      <c r="E29" s="129"/>
      <c r="F29" s="81"/>
      <c r="G29" s="81"/>
      <c r="H29" s="81"/>
      <c r="I29" s="118"/>
      <c r="J29" s="118"/>
      <c r="K29" s="118"/>
      <c r="L29" s="118"/>
      <c r="M29" s="118"/>
      <c r="N29" s="82"/>
      <c r="P29" s="14"/>
    </row>
    <row r="30" spans="1:16" ht="13.5" customHeight="1">
      <c r="A30" s="128" t="s">
        <v>500</v>
      </c>
      <c r="B30" s="84">
        <v>3722</v>
      </c>
      <c r="C30" s="84">
        <v>5169</v>
      </c>
      <c r="D30" s="78" t="s">
        <v>467</v>
      </c>
      <c r="E30" s="130" t="s">
        <v>504</v>
      </c>
      <c r="F30" s="81">
        <v>64000000</v>
      </c>
      <c r="G30" s="81">
        <v>64000000</v>
      </c>
      <c r="H30" s="81"/>
      <c r="I30" s="118">
        <f>SUM(G30:H30)</f>
        <v>64000000</v>
      </c>
      <c r="J30" s="118">
        <v>63998107.8</v>
      </c>
      <c r="K30" s="118">
        <f>J30/I30*100</f>
        <v>99.9970434375</v>
      </c>
      <c r="L30" s="118"/>
      <c r="M30" s="118"/>
      <c r="N30" s="82" t="s">
        <v>471</v>
      </c>
      <c r="P30" s="14"/>
    </row>
    <row r="31" spans="1:16" ht="13.5" customHeight="1">
      <c r="A31" s="128" t="s">
        <v>500</v>
      </c>
      <c r="B31" s="84">
        <v>3722</v>
      </c>
      <c r="C31" s="84">
        <v>5169</v>
      </c>
      <c r="D31" s="78" t="s">
        <v>467</v>
      </c>
      <c r="E31" s="79" t="s">
        <v>505</v>
      </c>
      <c r="F31" s="81">
        <v>28000000</v>
      </c>
      <c r="G31" s="81">
        <v>28000000</v>
      </c>
      <c r="H31" s="81"/>
      <c r="I31" s="118">
        <f>SUM(G31:H31)</f>
        <v>28000000</v>
      </c>
      <c r="J31" s="118">
        <v>27998793.2</v>
      </c>
      <c r="K31" s="118">
        <f>J31/I31*100</f>
        <v>99.99569</v>
      </c>
      <c r="L31" s="118"/>
      <c r="M31" s="118"/>
      <c r="N31" s="82" t="s">
        <v>474</v>
      </c>
      <c r="P31" s="14"/>
    </row>
    <row r="32" spans="1:16" ht="13.5" customHeight="1">
      <c r="A32" s="128" t="s">
        <v>500</v>
      </c>
      <c r="B32" s="84">
        <v>3745</v>
      </c>
      <c r="C32" s="84">
        <v>5169</v>
      </c>
      <c r="D32" s="78" t="s">
        <v>467</v>
      </c>
      <c r="E32" s="130" t="s">
        <v>506</v>
      </c>
      <c r="F32" s="81">
        <v>37000000</v>
      </c>
      <c r="G32" s="81">
        <v>37000000</v>
      </c>
      <c r="H32" s="81"/>
      <c r="I32" s="118">
        <f>SUM(G32:H32)</f>
        <v>37000000</v>
      </c>
      <c r="J32" s="118">
        <v>37000000</v>
      </c>
      <c r="K32" s="118">
        <f>J32/I32*100</f>
        <v>100</v>
      </c>
      <c r="L32" s="118"/>
      <c r="M32" s="118"/>
      <c r="N32" s="82" t="s">
        <v>471</v>
      </c>
      <c r="P32" s="14"/>
    </row>
    <row r="33" spans="1:16" ht="13.5" customHeight="1">
      <c r="A33" s="115" t="s">
        <v>500</v>
      </c>
      <c r="B33" s="100">
        <v>6409</v>
      </c>
      <c r="C33" s="100">
        <v>5169</v>
      </c>
      <c r="D33" s="101" t="s">
        <v>467</v>
      </c>
      <c r="E33" s="102" t="s">
        <v>507</v>
      </c>
      <c r="F33" s="85">
        <v>700000</v>
      </c>
      <c r="G33" s="85">
        <v>1200000</v>
      </c>
      <c r="H33" s="85"/>
      <c r="I33" s="118">
        <f>SUM(G33:H33)</f>
        <v>1200000</v>
      </c>
      <c r="J33" s="73">
        <v>1199920.1</v>
      </c>
      <c r="K33" s="73">
        <f>J33/I33*100</f>
        <v>99.99334166666668</v>
      </c>
      <c r="L33" s="73"/>
      <c r="M33" s="73"/>
      <c r="N33" s="103" t="s">
        <v>471</v>
      </c>
      <c r="P33" s="14"/>
    </row>
    <row r="34" spans="1:16" ht="19.5" customHeight="1" thickBot="1">
      <c r="A34" s="87" t="s">
        <v>508</v>
      </c>
      <c r="B34" s="88"/>
      <c r="C34" s="88"/>
      <c r="D34" s="88"/>
      <c r="E34" s="89"/>
      <c r="F34" s="90">
        <f>SUM(F28:F33)</f>
        <v>154167000</v>
      </c>
      <c r="G34" s="90">
        <f>SUM(G28:G33)</f>
        <v>154667000</v>
      </c>
      <c r="H34" s="90">
        <f>SUM(H28:H33)</f>
        <v>0</v>
      </c>
      <c r="I34" s="90">
        <f>SUM(I28:I33)</f>
        <v>154667000</v>
      </c>
      <c r="J34" s="90">
        <f>SUM(J28:J33)</f>
        <v>154663474.1</v>
      </c>
      <c r="K34" s="90">
        <f>J34/I34*100</f>
        <v>99.99772032818895</v>
      </c>
      <c r="L34" s="90">
        <f>SUM(L28:L33)</f>
        <v>0</v>
      </c>
      <c r="M34" s="90">
        <f>SUM(M28:M33)</f>
        <v>0</v>
      </c>
      <c r="N34" s="91"/>
      <c r="P34" s="92"/>
    </row>
    <row r="35" spans="1:16" s="67" customFormat="1" ht="13.5" customHeight="1" thickBot="1">
      <c r="A35" s="110"/>
      <c r="B35" s="110"/>
      <c r="C35" s="110"/>
      <c r="D35" s="29"/>
      <c r="E35" s="5"/>
      <c r="F35" s="7"/>
      <c r="G35" s="7"/>
      <c r="H35" s="7"/>
      <c r="I35" s="7"/>
      <c r="J35" s="7"/>
      <c r="K35" s="7"/>
      <c r="L35" s="7"/>
      <c r="M35" s="7"/>
      <c r="N35" s="5"/>
      <c r="P35" s="14"/>
    </row>
    <row r="36" spans="1:16" ht="13.5" customHeight="1">
      <c r="A36" s="131" t="s">
        <v>509</v>
      </c>
      <c r="B36" s="132">
        <v>3319</v>
      </c>
      <c r="C36" s="132">
        <v>5169</v>
      </c>
      <c r="D36" s="133" t="s">
        <v>467</v>
      </c>
      <c r="E36" s="108" t="s">
        <v>510</v>
      </c>
      <c r="F36" s="109">
        <v>252000</v>
      </c>
      <c r="G36" s="109">
        <v>252000</v>
      </c>
      <c r="H36" s="109"/>
      <c r="I36" s="109">
        <f>SUM(G36:H36)</f>
        <v>252000</v>
      </c>
      <c r="J36" s="109">
        <v>252000</v>
      </c>
      <c r="K36" s="109">
        <f>J36/I36*100</f>
        <v>100</v>
      </c>
      <c r="L36" s="109"/>
      <c r="M36" s="109"/>
      <c r="N36" s="98" t="s">
        <v>471</v>
      </c>
      <c r="P36" s="14"/>
    </row>
    <row r="37" spans="1:16" ht="13.5" customHeight="1">
      <c r="A37" s="128" t="s">
        <v>509</v>
      </c>
      <c r="B37" s="84">
        <v>3326</v>
      </c>
      <c r="C37" s="84">
        <v>5169</v>
      </c>
      <c r="D37" s="78" t="s">
        <v>467</v>
      </c>
      <c r="E37" s="79" t="s">
        <v>511</v>
      </c>
      <c r="F37" s="118">
        <v>246000</v>
      </c>
      <c r="G37" s="118">
        <v>246000</v>
      </c>
      <c r="H37" s="118"/>
      <c r="I37" s="118">
        <f>SUM(G37:H37)</f>
        <v>246000</v>
      </c>
      <c r="J37" s="118">
        <v>241430.2</v>
      </c>
      <c r="K37" s="118">
        <f>J37/I37*100</f>
        <v>98.14235772357725</v>
      </c>
      <c r="L37" s="73"/>
      <c r="M37" s="73"/>
      <c r="N37" s="793" t="s">
        <v>512</v>
      </c>
      <c r="P37" s="14"/>
    </row>
    <row r="38" spans="1:16" ht="13.5" customHeight="1">
      <c r="A38" s="124"/>
      <c r="B38" s="125"/>
      <c r="C38" s="125"/>
      <c r="D38" s="70"/>
      <c r="E38" s="71"/>
      <c r="F38" s="118"/>
      <c r="G38" s="118"/>
      <c r="H38" s="118"/>
      <c r="I38" s="118"/>
      <c r="J38" s="118"/>
      <c r="K38" s="118"/>
      <c r="L38" s="118"/>
      <c r="M38" s="118"/>
      <c r="N38" s="792"/>
      <c r="P38" s="14"/>
    </row>
    <row r="39" spans="1:16" ht="13.5" customHeight="1">
      <c r="A39" s="128" t="s">
        <v>509</v>
      </c>
      <c r="B39" s="84">
        <v>6409</v>
      </c>
      <c r="C39" s="84">
        <v>5169</v>
      </c>
      <c r="D39" s="78" t="s">
        <v>467</v>
      </c>
      <c r="E39" s="494" t="s">
        <v>513</v>
      </c>
      <c r="F39" s="118">
        <v>485000</v>
      </c>
      <c r="G39" s="118">
        <v>500000</v>
      </c>
      <c r="H39" s="118"/>
      <c r="I39" s="118">
        <f>SUM(G39:H39)</f>
        <v>500000</v>
      </c>
      <c r="J39" s="118">
        <v>485000.4</v>
      </c>
      <c r="K39" s="118">
        <f>J39/I39*100</f>
        <v>97.00008</v>
      </c>
      <c r="L39" s="118"/>
      <c r="M39" s="118"/>
      <c r="N39" s="82" t="s">
        <v>471</v>
      </c>
      <c r="P39" s="14"/>
    </row>
    <row r="40" spans="1:16" ht="13.5" customHeight="1">
      <c r="A40" s="115"/>
      <c r="B40" s="100"/>
      <c r="C40" s="100"/>
      <c r="D40" s="101"/>
      <c r="E40" s="145"/>
      <c r="F40" s="85"/>
      <c r="G40" s="85"/>
      <c r="H40" s="85"/>
      <c r="I40" s="85"/>
      <c r="J40" s="85"/>
      <c r="K40" s="85"/>
      <c r="L40" s="85"/>
      <c r="M40" s="85"/>
      <c r="N40" s="103"/>
      <c r="P40" s="14"/>
    </row>
    <row r="41" spans="1:16" ht="13.5" customHeight="1">
      <c r="A41" s="134"/>
      <c r="B41" s="100"/>
      <c r="C41" s="100"/>
      <c r="D41" s="101"/>
      <c r="E41" s="146"/>
      <c r="F41" s="85"/>
      <c r="G41" s="85"/>
      <c r="H41" s="85"/>
      <c r="I41" s="85"/>
      <c r="J41" s="85"/>
      <c r="K41" s="80"/>
      <c r="L41" s="6"/>
      <c r="M41" s="6"/>
      <c r="N41" s="105"/>
      <c r="P41" s="14"/>
    </row>
    <row r="42" spans="1:16" ht="19.5" customHeight="1" thickBot="1">
      <c r="A42" s="87" t="s">
        <v>514</v>
      </c>
      <c r="B42" s="88"/>
      <c r="C42" s="88"/>
      <c r="D42" s="88"/>
      <c r="E42" s="89"/>
      <c r="F42" s="90">
        <f>SUM(F36:F40)</f>
        <v>983000</v>
      </c>
      <c r="G42" s="90">
        <f>SUM(G36:G40)</f>
        <v>998000</v>
      </c>
      <c r="H42" s="90">
        <f>SUM(H36:H40)</f>
        <v>0</v>
      </c>
      <c r="I42" s="90">
        <f>SUM(I36:I40)</f>
        <v>998000</v>
      </c>
      <c r="J42" s="90">
        <f>SUM(J36:J40)</f>
        <v>978430.6000000001</v>
      </c>
      <c r="K42" s="90">
        <f>J42/I42*100</f>
        <v>98.03913827655312</v>
      </c>
      <c r="L42" s="90">
        <f>SUM(L36:L41)</f>
        <v>0</v>
      </c>
      <c r="M42" s="90">
        <f>SUM(M36:M41)</f>
        <v>0</v>
      </c>
      <c r="N42" s="91"/>
      <c r="P42" s="14"/>
    </row>
    <row r="43" spans="1:16" s="67" customFormat="1" ht="13.5" customHeight="1" thickBot="1">
      <c r="A43" s="110"/>
      <c r="B43" s="110"/>
      <c r="C43" s="110"/>
      <c r="D43" s="29"/>
      <c r="E43" s="135"/>
      <c r="F43" s="33"/>
      <c r="G43" s="33"/>
      <c r="H43" s="33"/>
      <c r="I43" s="33"/>
      <c r="J43" s="33"/>
      <c r="K43" s="33"/>
      <c r="L43" s="33"/>
      <c r="M43" s="33"/>
      <c r="N43" s="5"/>
      <c r="P43" s="14"/>
    </row>
    <row r="44" spans="1:16" ht="13.5" customHeight="1">
      <c r="A44" s="106" t="s">
        <v>515</v>
      </c>
      <c r="B44" s="95">
        <v>6409</v>
      </c>
      <c r="C44" s="95">
        <v>5169</v>
      </c>
      <c r="D44" s="96" t="s">
        <v>467</v>
      </c>
      <c r="E44" s="697" t="s">
        <v>516</v>
      </c>
      <c r="F44" s="97">
        <v>450000</v>
      </c>
      <c r="G44" s="97">
        <v>450000</v>
      </c>
      <c r="H44" s="97"/>
      <c r="I44" s="97">
        <f>SUM(G44:H44)</f>
        <v>450000</v>
      </c>
      <c r="J44" s="97">
        <v>441416</v>
      </c>
      <c r="K44" s="97">
        <f>J44/I44*100</f>
        <v>98.09244444444445</v>
      </c>
      <c r="L44" s="97"/>
      <c r="M44" s="97"/>
      <c r="N44" s="37" t="s">
        <v>689</v>
      </c>
      <c r="P44" s="14"/>
    </row>
    <row r="45" spans="1:16" ht="13.5" customHeight="1">
      <c r="A45" s="124"/>
      <c r="B45" s="125"/>
      <c r="C45" s="125"/>
      <c r="D45" s="70"/>
      <c r="E45" s="147"/>
      <c r="F45" s="80"/>
      <c r="G45" s="80"/>
      <c r="H45" s="80"/>
      <c r="I45" s="80"/>
      <c r="J45" s="80"/>
      <c r="K45" s="80"/>
      <c r="L45" s="73"/>
      <c r="M45" s="73"/>
      <c r="N45" s="68"/>
      <c r="P45" s="14"/>
    </row>
    <row r="46" spans="1:16" ht="13.5" customHeight="1">
      <c r="A46" s="128"/>
      <c r="B46" s="84"/>
      <c r="C46" s="84"/>
      <c r="D46" s="78"/>
      <c r="E46" s="147"/>
      <c r="F46" s="80"/>
      <c r="G46" s="80"/>
      <c r="H46" s="80"/>
      <c r="I46" s="80"/>
      <c r="J46" s="80"/>
      <c r="K46" s="80"/>
      <c r="L46" s="73"/>
      <c r="M46" s="73"/>
      <c r="N46" s="68"/>
      <c r="P46" s="14"/>
    </row>
    <row r="47" spans="1:16" ht="15.75" customHeight="1">
      <c r="A47" s="115"/>
      <c r="B47" s="100"/>
      <c r="C47" s="100"/>
      <c r="D47" s="101"/>
      <c r="E47" s="94"/>
      <c r="F47" s="80"/>
      <c r="G47" s="80"/>
      <c r="H47" s="80"/>
      <c r="I47" s="80"/>
      <c r="J47" s="80"/>
      <c r="K47" s="80"/>
      <c r="L47" s="118"/>
      <c r="M47" s="118"/>
      <c r="N47" s="792"/>
      <c r="P47" s="14"/>
    </row>
    <row r="48" spans="1:16" s="136" customFormat="1" ht="19.5" customHeight="1" thickBot="1">
      <c r="A48" s="87" t="s">
        <v>517</v>
      </c>
      <c r="B48" s="88"/>
      <c r="C48" s="88"/>
      <c r="D48" s="88"/>
      <c r="E48" s="89"/>
      <c r="F48" s="90">
        <f>SUM(F44)</f>
        <v>450000</v>
      </c>
      <c r="G48" s="90">
        <f>SUM(G44)</f>
        <v>450000</v>
      </c>
      <c r="H48" s="90">
        <f>SUM(H44)</f>
        <v>0</v>
      </c>
      <c r="I48" s="90">
        <f>SUM(I44)</f>
        <v>450000</v>
      </c>
      <c r="J48" s="90">
        <f>SUM(J44)</f>
        <v>441416</v>
      </c>
      <c r="K48" s="90">
        <f>J48/I48*100</f>
        <v>98.09244444444445</v>
      </c>
      <c r="L48" s="90">
        <f>SUM(L44:L47)</f>
        <v>0</v>
      </c>
      <c r="M48" s="90">
        <f>SUM(M44:M47)</f>
        <v>0</v>
      </c>
      <c r="N48" s="91"/>
      <c r="P48" s="14"/>
    </row>
    <row r="49" spans="1:16" s="67" customFormat="1" ht="13.5" customHeight="1" thickBot="1">
      <c r="A49" s="110"/>
      <c r="B49" s="110"/>
      <c r="C49" s="110"/>
      <c r="D49" s="29"/>
      <c r="E49" s="135"/>
      <c r="F49" s="33"/>
      <c r="G49" s="33"/>
      <c r="H49" s="33"/>
      <c r="I49" s="33"/>
      <c r="J49" s="33"/>
      <c r="K49" s="33"/>
      <c r="L49" s="33"/>
      <c r="M49" s="33"/>
      <c r="N49" s="5"/>
      <c r="P49" s="14"/>
    </row>
    <row r="50" spans="1:16" ht="13.5" customHeight="1">
      <c r="A50" s="93" t="s">
        <v>518</v>
      </c>
      <c r="B50" s="96">
        <v>3612</v>
      </c>
      <c r="C50" s="96">
        <v>5169</v>
      </c>
      <c r="D50" s="96" t="s">
        <v>519</v>
      </c>
      <c r="E50" s="137" t="s">
        <v>520</v>
      </c>
      <c r="F50" s="109">
        <v>15500000</v>
      </c>
      <c r="G50" s="109">
        <v>15600000</v>
      </c>
      <c r="H50" s="109"/>
      <c r="I50" s="109">
        <f>SUM(G50:H50)</f>
        <v>15600000</v>
      </c>
      <c r="J50" s="109">
        <v>15629897.5</v>
      </c>
      <c r="K50" s="109">
        <f>J50/I50*100</f>
        <v>100.19165064102565</v>
      </c>
      <c r="L50" s="109"/>
      <c r="M50" s="109"/>
      <c r="N50" s="98" t="s">
        <v>521</v>
      </c>
      <c r="P50" s="14"/>
    </row>
    <row r="51" spans="1:16" s="67" customFormat="1" ht="19.5" customHeight="1" thickBot="1">
      <c r="A51" s="138" t="s">
        <v>522</v>
      </c>
      <c r="B51" s="139"/>
      <c r="C51" s="139"/>
      <c r="D51" s="139"/>
      <c r="E51" s="140"/>
      <c r="F51" s="141">
        <f>SUM(F50)</f>
        <v>15500000</v>
      </c>
      <c r="G51" s="141">
        <f>SUM(G50)</f>
        <v>15600000</v>
      </c>
      <c r="H51" s="141">
        <f>SUM(H50)</f>
        <v>0</v>
      </c>
      <c r="I51" s="141">
        <f>SUM(I50)</f>
        <v>15600000</v>
      </c>
      <c r="J51" s="141">
        <f>SUM(J50)</f>
        <v>15629897.5</v>
      </c>
      <c r="K51" s="141">
        <f>J51/I51*100</f>
        <v>100.19165064102565</v>
      </c>
      <c r="L51" s="141">
        <f>SUM(L50)</f>
        <v>0</v>
      </c>
      <c r="M51" s="141">
        <f>SUM(M50)</f>
        <v>0</v>
      </c>
      <c r="N51" s="142"/>
      <c r="P51" s="14"/>
    </row>
    <row r="52" spans="1:16" s="152" customFormat="1" ht="24.75" customHeight="1" thickBot="1">
      <c r="A52" s="143" t="s">
        <v>523</v>
      </c>
      <c r="B52" s="144"/>
      <c r="C52" s="144"/>
      <c r="D52" s="148"/>
      <c r="E52" s="149"/>
      <c r="F52" s="150">
        <f>F14+F19+F22+F27+F34+F42+F48+F51</f>
        <v>436178000</v>
      </c>
      <c r="G52" s="150">
        <f>G14+G19+G22+G27+G34+G42+G48+G51</f>
        <v>454456317</v>
      </c>
      <c r="H52" s="150">
        <f>H14+H19+H22+H27+H34+H42+H48+H51</f>
        <v>1000000</v>
      </c>
      <c r="I52" s="150">
        <f>I14+I19+I22+I27+I34+I42+I48+I51</f>
        <v>455456317</v>
      </c>
      <c r="J52" s="150">
        <f>J14+J19+J22+J27+J34+J42+J48+J51</f>
        <v>452879894.20000005</v>
      </c>
      <c r="K52" s="150">
        <f>J52/I52*100</f>
        <v>99.43432054758394</v>
      </c>
      <c r="L52" s="150">
        <f>L14+L19+L22+L27+L34+L42+L48+L51</f>
        <v>0</v>
      </c>
      <c r="M52" s="150">
        <f>M14+M19+M22+M27+M34+M42+M48+M51</f>
        <v>0</v>
      </c>
      <c r="N52" s="151"/>
      <c r="P52" s="92"/>
    </row>
    <row r="53" spans="1:16" ht="13.5" thickBot="1">
      <c r="A53" s="153"/>
      <c r="B53" s="153"/>
      <c r="C53" s="153"/>
      <c r="D53" s="154"/>
      <c r="E53" s="153"/>
      <c r="F53" s="155"/>
      <c r="G53" s="155"/>
      <c r="H53" s="155"/>
      <c r="I53" s="155"/>
      <c r="J53" s="155"/>
      <c r="K53" s="155"/>
      <c r="L53" s="155"/>
      <c r="M53" s="155"/>
      <c r="N53" s="156"/>
      <c r="P53" s="14"/>
    </row>
    <row r="54" spans="1:16" ht="19.5" customHeight="1">
      <c r="A54" s="586" t="s">
        <v>524</v>
      </c>
      <c r="B54" s="523"/>
      <c r="C54" s="523"/>
      <c r="D54" s="523"/>
      <c r="E54" s="523"/>
      <c r="F54" s="157">
        <f>F2+F4+F5+F6+F7+F13+F16+F24+F31+F33+F32+F39+F36+F44+F21+F26+F37+F30+F18</f>
        <v>229641000</v>
      </c>
      <c r="G54" s="157">
        <f>G2+G4+G5+G6+G7+G13+G16+G24+G31+G33+G32+G39+G36+G44+G21+G26+G37+G30+G18</f>
        <v>250762567</v>
      </c>
      <c r="H54" s="157">
        <f>H2+H4+H5+H6+H7+H13+H16+H24+H31+H33+H32+H39+H36+H44+H21+H26+H37+H30+H18</f>
        <v>1000000</v>
      </c>
      <c r="I54" s="157">
        <f>I2+I4+I5+I6+I7+I13+I16+I24+I31+I33+I32+I39+I36+I44+I21+I26+I37+I30+I18</f>
        <v>251762567</v>
      </c>
      <c r="J54" s="157">
        <f>J2+J4+J5+J6+J7+J13+J16+J24+J31+J33+J32+J39+J36+J44+J21+J26+J37+J30+J18</f>
        <v>250654846.2</v>
      </c>
      <c r="K54" s="157">
        <f>J54/I54*100</f>
        <v>99.560013701322</v>
      </c>
      <c r="L54" s="157">
        <f>L2+L4+L5+L6+L7+L13+L16+L24+L31+L33+L32+L39+L36+L44+L21+L26+L37+L30+L18</f>
        <v>0</v>
      </c>
      <c r="M54" s="157">
        <f>M2+M4+M5+M6+M7+M13+M16+M24+M31+M33+M32+M39+M36+M44+M21+M26+M37+M30+M18</f>
        <v>0</v>
      </c>
      <c r="N54" s="158"/>
      <c r="P54" s="14"/>
    </row>
    <row r="55" spans="1:16" ht="19.5" customHeight="1">
      <c r="A55" s="787" t="s">
        <v>525</v>
      </c>
      <c r="B55" s="788"/>
      <c r="C55" s="788"/>
      <c r="D55" s="788"/>
      <c r="E55" s="788"/>
      <c r="F55" s="159">
        <f>F8+F9+F10+F11+F12</f>
        <v>166570000</v>
      </c>
      <c r="G55" s="159">
        <f>G8+G9+G10+G11+G12</f>
        <v>163626750</v>
      </c>
      <c r="H55" s="159">
        <f>H8+H9+H10+H11+H12</f>
        <v>0</v>
      </c>
      <c r="I55" s="159">
        <f>I8+I9+I10+I11+I12</f>
        <v>163626750</v>
      </c>
      <c r="J55" s="159">
        <f>J8+J9+J10+J11+J12</f>
        <v>162128497.5</v>
      </c>
      <c r="K55" s="159">
        <f>J55/I55*100</f>
        <v>99.084347455413</v>
      </c>
      <c r="L55" s="159">
        <f>L8+L9+L10+L11+L12</f>
        <v>0</v>
      </c>
      <c r="M55" s="159">
        <f>M8+M9+M10+M11+M12</f>
        <v>0</v>
      </c>
      <c r="N55" s="160"/>
      <c r="P55" s="14"/>
    </row>
    <row r="56" spans="1:16" ht="19.5" customHeight="1">
      <c r="A56" s="787" t="s">
        <v>526</v>
      </c>
      <c r="B56" s="788"/>
      <c r="C56" s="788"/>
      <c r="D56" s="788"/>
      <c r="E56" s="788"/>
      <c r="F56" s="159">
        <f>F28</f>
        <v>24467000</v>
      </c>
      <c r="G56" s="159">
        <f>G28</f>
        <v>24467000</v>
      </c>
      <c r="H56" s="159">
        <f>H28</f>
        <v>0</v>
      </c>
      <c r="I56" s="159">
        <f>I28</f>
        <v>24467000</v>
      </c>
      <c r="J56" s="159">
        <f>J28</f>
        <v>24466653</v>
      </c>
      <c r="K56" s="159">
        <f>J56/I56*100</f>
        <v>99.99858176319124</v>
      </c>
      <c r="L56" s="159">
        <f>L28</f>
        <v>0</v>
      </c>
      <c r="M56" s="159">
        <f>M28</f>
        <v>0</v>
      </c>
      <c r="N56" s="160"/>
      <c r="P56" s="14"/>
    </row>
    <row r="57" spans="1:16" ht="19.5" customHeight="1" thickBot="1">
      <c r="A57" s="787" t="s">
        <v>527</v>
      </c>
      <c r="B57" s="788"/>
      <c r="C57" s="788"/>
      <c r="D57" s="788"/>
      <c r="E57" s="788"/>
      <c r="F57" s="159">
        <f>F50</f>
        <v>15500000</v>
      </c>
      <c r="G57" s="159">
        <f>G50</f>
        <v>15600000</v>
      </c>
      <c r="H57" s="159">
        <f>H50</f>
        <v>0</v>
      </c>
      <c r="I57" s="159">
        <f>I50</f>
        <v>15600000</v>
      </c>
      <c r="J57" s="159">
        <f>J50</f>
        <v>15629897.5</v>
      </c>
      <c r="K57" s="159">
        <f>J57/I57*100</f>
        <v>100.19165064102565</v>
      </c>
      <c r="L57" s="159">
        <f>L50</f>
        <v>0</v>
      </c>
      <c r="M57" s="159">
        <f>M50</f>
        <v>0</v>
      </c>
      <c r="N57" s="160"/>
      <c r="P57" s="14"/>
    </row>
    <row r="58" spans="1:16" s="166" customFormat="1" ht="25.5" customHeight="1" thickBot="1">
      <c r="A58" s="161" t="s">
        <v>528</v>
      </c>
      <c r="B58" s="162"/>
      <c r="C58" s="162"/>
      <c r="D58" s="162"/>
      <c r="E58" s="163"/>
      <c r="F58" s="164">
        <f>SUM(F54:F57)</f>
        <v>436178000</v>
      </c>
      <c r="G58" s="164">
        <f>SUM(G54:G57)</f>
        <v>454456317</v>
      </c>
      <c r="H58" s="164">
        <f>SUM(H54:H57)</f>
        <v>1000000</v>
      </c>
      <c r="I58" s="164">
        <f>SUM(I54:I57)</f>
        <v>455456317</v>
      </c>
      <c r="J58" s="164">
        <f>SUM(J54:J57)</f>
        <v>452879894.2</v>
      </c>
      <c r="K58" s="164">
        <f>J58/I58*100</f>
        <v>99.43432054758394</v>
      </c>
      <c r="L58" s="164">
        <f>SUM(L54:L57)</f>
        <v>0</v>
      </c>
      <c r="M58" s="164">
        <f>SUM(M54:M57)</f>
        <v>0</v>
      </c>
      <c r="N58" s="165"/>
      <c r="P58" s="14"/>
    </row>
    <row r="59" spans="1:13" ht="24.75" customHeight="1">
      <c r="A59" s="35"/>
      <c r="B59" s="35"/>
      <c r="C59" s="35"/>
      <c r="D59" s="35"/>
      <c r="E59" s="41"/>
      <c r="F59" s="167"/>
      <c r="G59" s="167"/>
      <c r="H59" s="167"/>
      <c r="I59" s="167"/>
      <c r="J59" s="167"/>
      <c r="K59" s="167"/>
      <c r="L59" s="167"/>
      <c r="M59" s="167"/>
    </row>
    <row r="60" spans="1:13" ht="24.75" customHeight="1">
      <c r="A60" s="35"/>
      <c r="B60" s="35"/>
      <c r="C60" s="35"/>
      <c r="D60" s="169"/>
      <c r="E60" s="169"/>
      <c r="F60" s="170" t="s">
        <v>529</v>
      </c>
      <c r="G60" s="170"/>
      <c r="H60" s="170"/>
      <c r="I60" s="170">
        <f>I52-I58</f>
        <v>0</v>
      </c>
      <c r="J60" s="170">
        <f>J52-J58</f>
        <v>0</v>
      </c>
      <c r="K60" s="170">
        <f>K52-K58</f>
        <v>0</v>
      </c>
      <c r="L60" s="170">
        <f>L52-L58</f>
        <v>0</v>
      </c>
      <c r="M60" s="170">
        <f>M52-M58</f>
        <v>0</v>
      </c>
    </row>
    <row r="61" spans="1:13" ht="24.75" customHeight="1">
      <c r="A61" s="35"/>
      <c r="B61" s="35"/>
      <c r="C61" s="35"/>
      <c r="D61" s="169"/>
      <c r="E61" s="169"/>
      <c r="F61" s="170" t="s">
        <v>371</v>
      </c>
      <c r="G61" s="170"/>
      <c r="H61" s="170"/>
      <c r="I61" s="170"/>
      <c r="J61" s="170"/>
      <c r="K61" s="170"/>
      <c r="L61" s="170"/>
      <c r="M61" s="170"/>
    </row>
    <row r="62" spans="1:13" ht="24.75" customHeight="1">
      <c r="A62" s="35"/>
      <c r="B62" s="35"/>
      <c r="C62" s="35"/>
      <c r="D62" s="169"/>
      <c r="E62" s="169"/>
      <c r="F62" s="170"/>
      <c r="G62" s="170"/>
      <c r="H62" s="170"/>
      <c r="I62" s="170"/>
      <c r="J62" s="170"/>
      <c r="K62" s="170"/>
      <c r="L62" s="170"/>
      <c r="M62" s="170"/>
    </row>
    <row r="63" spans="1:13" ht="24.75" customHeight="1">
      <c r="A63" s="35"/>
      <c r="B63" s="35"/>
      <c r="C63" s="35"/>
      <c r="D63" s="169"/>
      <c r="E63" s="169"/>
      <c r="F63" s="170"/>
      <c r="G63" s="170"/>
      <c r="H63" s="170"/>
      <c r="I63" s="170"/>
      <c r="J63" s="170"/>
      <c r="K63" s="170"/>
      <c r="L63" s="170"/>
      <c r="M63" s="170"/>
    </row>
    <row r="64" spans="1:13" ht="24.75" customHeight="1">
      <c r="A64" s="35"/>
      <c r="B64" s="35"/>
      <c r="C64" s="35"/>
      <c r="D64" s="169"/>
      <c r="E64" s="169"/>
      <c r="F64" s="170"/>
      <c r="G64" s="170"/>
      <c r="H64" s="170"/>
      <c r="I64" s="170"/>
      <c r="J64" s="170"/>
      <c r="K64" s="170"/>
      <c r="L64" s="170"/>
      <c r="M64" s="170"/>
    </row>
    <row r="65" spans="1:13" ht="24.75" customHeight="1">
      <c r="A65" s="35"/>
      <c r="B65" s="35"/>
      <c r="C65" s="35"/>
      <c r="D65" s="169"/>
      <c r="E65" s="169"/>
      <c r="F65" s="170"/>
      <c r="G65" s="170"/>
      <c r="H65" s="170"/>
      <c r="I65" s="170"/>
      <c r="J65" s="170"/>
      <c r="K65" s="170"/>
      <c r="L65" s="170"/>
      <c r="M65" s="170"/>
    </row>
    <row r="66" spans="1:13" ht="24.75" customHeight="1">
      <c r="A66" s="35"/>
      <c r="B66" s="35"/>
      <c r="C66" s="35"/>
      <c r="D66" s="169"/>
      <c r="E66" s="169"/>
      <c r="F66" s="170"/>
      <c r="G66" s="170"/>
      <c r="H66" s="170"/>
      <c r="I66" s="170"/>
      <c r="J66" s="170"/>
      <c r="K66" s="170"/>
      <c r="L66" s="170"/>
      <c r="M66" s="170"/>
    </row>
    <row r="67" spans="1:13" ht="24.75" customHeight="1">
      <c r="A67" s="35"/>
      <c r="B67" s="35"/>
      <c r="C67" s="35"/>
      <c r="D67" s="169"/>
      <c r="E67" s="169"/>
      <c r="F67" s="170"/>
      <c r="G67" s="170"/>
      <c r="H67" s="170"/>
      <c r="I67" s="170"/>
      <c r="J67" s="170"/>
      <c r="K67" s="170"/>
      <c r="L67" s="170"/>
      <c r="M67" s="170"/>
    </row>
    <row r="68" spans="1:13" ht="24.75" customHeight="1">
      <c r="A68" s="35"/>
      <c r="B68" s="35"/>
      <c r="C68" s="35"/>
      <c r="D68" s="35"/>
      <c r="F68" s="170"/>
      <c r="G68" s="170"/>
      <c r="H68" s="170"/>
      <c r="I68" s="170"/>
      <c r="J68" s="170"/>
      <c r="K68" s="170"/>
      <c r="L68" s="170"/>
      <c r="M68" s="170"/>
    </row>
    <row r="69" spans="1:13" ht="24.75" customHeight="1">
      <c r="A69" s="35"/>
      <c r="B69" s="35"/>
      <c r="C69" s="35"/>
      <c r="D69" s="35"/>
      <c r="F69" s="170"/>
      <c r="G69" s="170"/>
      <c r="H69" s="170"/>
      <c r="I69" s="170"/>
      <c r="J69" s="170"/>
      <c r="K69" s="170"/>
      <c r="L69" s="170"/>
      <c r="M69" s="170"/>
    </row>
    <row r="70" spans="1:13" ht="24.75" customHeight="1">
      <c r="A70" s="35"/>
      <c r="B70" s="35"/>
      <c r="C70" s="35"/>
      <c r="D70" s="35"/>
      <c r="F70" s="170"/>
      <c r="G70" s="170"/>
      <c r="H70" s="170"/>
      <c r="I70" s="170"/>
      <c r="J70" s="170"/>
      <c r="K70" s="170"/>
      <c r="L70" s="170"/>
      <c r="M70" s="170"/>
    </row>
    <row r="71" spans="1:13" ht="24.75" customHeight="1">
      <c r="A71" s="35"/>
      <c r="B71" s="35"/>
      <c r="C71" s="35"/>
      <c r="D71" s="35"/>
      <c r="F71" s="170"/>
      <c r="G71" s="170"/>
      <c r="H71" s="170"/>
      <c r="I71" s="170"/>
      <c r="J71" s="170"/>
      <c r="K71" s="170"/>
      <c r="L71" s="170"/>
      <c r="M71" s="170"/>
    </row>
    <row r="72" spans="1:13" ht="24.75" customHeight="1">
      <c r="A72" s="35"/>
      <c r="B72" s="35"/>
      <c r="C72" s="35"/>
      <c r="D72" s="35"/>
      <c r="F72" s="170"/>
      <c r="G72" s="170"/>
      <c r="H72" s="170"/>
      <c r="I72" s="170"/>
      <c r="J72" s="170"/>
      <c r="K72" s="170"/>
      <c r="L72" s="170"/>
      <c r="M72" s="170"/>
    </row>
    <row r="73" spans="1:13" ht="24.75" customHeight="1">
      <c r="A73" s="35"/>
      <c r="B73" s="35"/>
      <c r="C73" s="35"/>
      <c r="D73" s="35"/>
      <c r="F73" s="170"/>
      <c r="G73" s="170"/>
      <c r="H73" s="170"/>
      <c r="I73" s="170"/>
      <c r="J73" s="170"/>
      <c r="K73" s="170"/>
      <c r="L73" s="170"/>
      <c r="M73" s="170"/>
    </row>
  </sheetData>
  <mergeCells count="16">
    <mergeCell ref="N2:N3"/>
    <mergeCell ref="N44:N47"/>
    <mergeCell ref="N37:N38"/>
    <mergeCell ref="J2:J5"/>
    <mergeCell ref="J8:J12"/>
    <mergeCell ref="K2:K5"/>
    <mergeCell ref="K8:K12"/>
    <mergeCell ref="A57:E57"/>
    <mergeCell ref="D28:D29"/>
    <mergeCell ref="E16:E17"/>
    <mergeCell ref="E24:E25"/>
    <mergeCell ref="A54:E54"/>
    <mergeCell ref="A55:E55"/>
    <mergeCell ref="A56:E56"/>
    <mergeCell ref="E39:E41"/>
    <mergeCell ref="E44:E47"/>
  </mergeCells>
  <printOptions horizontalCentered="1"/>
  <pageMargins left="0.4724409448818898" right="0.3937007874015748" top="0.84" bottom="0.5905511811023623" header="0.4330708661417323" footer="0.35433070866141736"/>
  <pageSetup firstPageNumber="8" useFirstPageNumber="1" horizontalDpi="600" verticalDpi="600" orientation="landscape" paperSize="9" scale="90" r:id="rId1"/>
  <headerFooter alignWithMargins="0">
    <oddHeader>&amp;Lv Kč&amp;C&amp;"Arial CE,Tučné"&amp;12Sumář objednávek veřejných služeb u akciových společností v roce 2006&amp;R&amp;"Arial CE,Tučné"&amp;11Příloha č. 3</oddHeader>
    <oddFooter>&amp;C&amp;P</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FV440"/>
  <sheetViews>
    <sheetView zoomScale="75" zoomScaleNormal="75" workbookViewId="0" topLeftCell="F1">
      <pane ySplit="1" topLeftCell="BM405" activePane="bottomLeft" state="frozen"/>
      <selection pane="topLeft" activeCell="A1" sqref="A1"/>
      <selection pane="bottomLeft" activeCell="M379" sqref="M379"/>
    </sheetView>
  </sheetViews>
  <sheetFormatPr defaultColWidth="9.00390625" defaultRowHeight="12.75" outlineLevelRow="1" outlineLevelCol="1"/>
  <cols>
    <col min="1" max="1" width="7.125" style="177" customWidth="1"/>
    <col min="2" max="2" width="5.875" style="177" customWidth="1"/>
    <col min="3" max="3" width="6.00390625" style="177" customWidth="1"/>
    <col min="4" max="4" width="4.75390625" style="177" customWidth="1"/>
    <col min="5" max="5" width="70.75390625" style="177" customWidth="1"/>
    <col min="6" max="6" width="12.75390625" style="387" customWidth="1"/>
    <col min="7" max="7" width="19.25390625" style="387" hidden="1" customWidth="1" outlineLevel="1"/>
    <col min="8" max="8" width="19.875" style="388" hidden="1" customWidth="1" outlineLevel="1"/>
    <col min="9" max="9" width="20.125" style="387" customWidth="1" collapsed="1"/>
    <col min="10" max="10" width="16.875" style="387" customWidth="1" outlineLevel="1"/>
    <col min="11" max="11" width="20.25390625" style="387" customWidth="1" outlineLevel="1"/>
    <col min="12" max="12" width="20.00390625" style="387" customWidth="1" outlineLevel="1"/>
    <col min="13" max="13" width="11.125" style="387" customWidth="1" outlineLevel="1"/>
    <col min="14" max="14" width="29.125" style="177" customWidth="1"/>
    <col min="15" max="15" width="29.25390625" style="177" customWidth="1"/>
    <col min="16" max="16" width="5.75390625" style="182" customWidth="1"/>
    <col min="17" max="17" width="9.125" style="182" hidden="1" customWidth="1"/>
    <col min="18" max="16384" width="9.125" style="182" customWidth="1"/>
  </cols>
  <sheetData>
    <row r="1" spans="1:14" s="176" customFormat="1" ht="62.25" customHeight="1" thickBot="1">
      <c r="A1" s="172" t="s">
        <v>690</v>
      </c>
      <c r="B1" s="172" t="s">
        <v>691</v>
      </c>
      <c r="C1" s="172" t="s">
        <v>692</v>
      </c>
      <c r="D1" s="172"/>
      <c r="E1" s="173" t="s">
        <v>693</v>
      </c>
      <c r="F1" s="174" t="s">
        <v>694</v>
      </c>
      <c r="G1" s="174" t="s">
        <v>695</v>
      </c>
      <c r="H1" s="175" t="s">
        <v>696</v>
      </c>
      <c r="I1" s="174" t="s">
        <v>697</v>
      </c>
      <c r="J1" s="174" t="s">
        <v>698</v>
      </c>
      <c r="K1" s="174" t="s">
        <v>699</v>
      </c>
      <c r="L1" s="174" t="s">
        <v>700</v>
      </c>
      <c r="M1" s="174" t="s">
        <v>701</v>
      </c>
      <c r="N1" s="173" t="s">
        <v>437</v>
      </c>
    </row>
    <row r="2" spans="5:14" ht="26.25" customHeight="1">
      <c r="E2" s="178" t="s">
        <v>702</v>
      </c>
      <c r="F2" s="179"/>
      <c r="G2" s="179"/>
      <c r="H2" s="180"/>
      <c r="I2" s="179"/>
      <c r="J2" s="179"/>
      <c r="K2" s="179"/>
      <c r="L2" s="179"/>
      <c r="M2" s="179"/>
      <c r="N2" s="181"/>
    </row>
    <row r="3" spans="1:14" s="188" customFormat="1" ht="19.5" customHeight="1">
      <c r="A3" s="183">
        <v>4574</v>
      </c>
      <c r="B3" s="183">
        <v>2321</v>
      </c>
      <c r="C3" s="183">
        <v>6121</v>
      </c>
      <c r="D3" s="183">
        <v>1</v>
      </c>
      <c r="E3" s="184" t="s">
        <v>703</v>
      </c>
      <c r="F3" s="185">
        <v>20</v>
      </c>
      <c r="G3" s="186">
        <v>39000</v>
      </c>
      <c r="H3" s="186"/>
      <c r="I3" s="186">
        <f>G3+H3</f>
        <v>39000</v>
      </c>
      <c r="J3" s="186">
        <v>5373.5</v>
      </c>
      <c r="K3" s="186">
        <v>32732.5</v>
      </c>
      <c r="L3" s="186">
        <f aca="true" t="shared" si="0" ref="L3:L29">J3+K3</f>
        <v>38106</v>
      </c>
      <c r="M3" s="186">
        <f>L3/I3*100</f>
        <v>97.70769230769231</v>
      </c>
      <c r="N3" s="187"/>
    </row>
    <row r="4" spans="1:14" ht="19.5" customHeight="1">
      <c r="A4" s="183">
        <v>635</v>
      </c>
      <c r="B4" s="183">
        <v>2212</v>
      </c>
      <c r="C4" s="183">
        <v>6121</v>
      </c>
      <c r="D4" s="183">
        <v>2</v>
      </c>
      <c r="E4" s="184" t="s">
        <v>704</v>
      </c>
      <c r="F4" s="189">
        <v>7000</v>
      </c>
      <c r="G4" s="186">
        <v>4030000</v>
      </c>
      <c r="H4" s="190"/>
      <c r="I4" s="186">
        <f>G4+H4</f>
        <v>4030000</v>
      </c>
      <c r="J4" s="186">
        <v>0</v>
      </c>
      <c r="K4" s="186">
        <v>4025944.03</v>
      </c>
      <c r="L4" s="186">
        <f t="shared" si="0"/>
        <v>4025944.03</v>
      </c>
      <c r="M4" s="186">
        <f>L4/I4*100</f>
        <v>99.89935558312655</v>
      </c>
      <c r="N4" s="184"/>
    </row>
    <row r="5" spans="1:14" ht="19.5" customHeight="1" hidden="1" outlineLevel="1">
      <c r="A5" s="183">
        <v>4396</v>
      </c>
      <c r="B5" s="183">
        <v>2212</v>
      </c>
      <c r="C5" s="183">
        <v>6121</v>
      </c>
      <c r="D5" s="183">
        <v>3</v>
      </c>
      <c r="E5" s="184" t="s">
        <v>705</v>
      </c>
      <c r="F5" s="189">
        <v>0</v>
      </c>
      <c r="G5" s="186">
        <v>0</v>
      </c>
      <c r="H5" s="190"/>
      <c r="I5" s="186">
        <v>0</v>
      </c>
      <c r="J5" s="186"/>
      <c r="K5" s="186"/>
      <c r="L5" s="186">
        <f t="shared" si="0"/>
        <v>0</v>
      </c>
      <c r="M5" s="186">
        <v>0</v>
      </c>
      <c r="N5" s="184"/>
    </row>
    <row r="6" spans="1:14" ht="19.5" customHeight="1" collapsed="1">
      <c r="A6" s="183">
        <v>4334</v>
      </c>
      <c r="B6" s="183">
        <v>3421</v>
      </c>
      <c r="C6" s="183">
        <v>6121</v>
      </c>
      <c r="D6" s="183">
        <v>4</v>
      </c>
      <c r="E6" s="184" t="s">
        <v>706</v>
      </c>
      <c r="F6" s="185">
        <v>2000</v>
      </c>
      <c r="G6" s="186">
        <v>1138240</v>
      </c>
      <c r="H6" s="186"/>
      <c r="I6" s="186">
        <f aca="true" t="shared" si="1" ref="I6:I32">G6+H6</f>
        <v>1138240</v>
      </c>
      <c r="J6" s="186">
        <v>166440</v>
      </c>
      <c r="K6" s="186">
        <v>971200</v>
      </c>
      <c r="L6" s="186">
        <f t="shared" si="0"/>
        <v>1137640</v>
      </c>
      <c r="M6" s="186">
        <f>L6/I6*100</f>
        <v>99.94728703964014</v>
      </c>
      <c r="N6" s="184"/>
    </row>
    <row r="7" spans="1:14" ht="19.5" customHeight="1">
      <c r="A7" s="183">
        <v>4480</v>
      </c>
      <c r="B7" s="183">
        <v>3421</v>
      </c>
      <c r="C7" s="183">
        <v>6121</v>
      </c>
      <c r="D7" s="183">
        <v>5</v>
      </c>
      <c r="E7" s="184" t="s">
        <v>707</v>
      </c>
      <c r="F7" s="185">
        <v>2000</v>
      </c>
      <c r="G7" s="186">
        <v>71500</v>
      </c>
      <c r="H7" s="186"/>
      <c r="I7" s="186">
        <f t="shared" si="1"/>
        <v>71500</v>
      </c>
      <c r="J7" s="186">
        <v>11412.9</v>
      </c>
      <c r="K7" s="186">
        <v>60067.5</v>
      </c>
      <c r="L7" s="186">
        <f t="shared" si="0"/>
        <v>71480.4</v>
      </c>
      <c r="M7" s="186">
        <f>L7/I7*100</f>
        <v>99.9725874125874</v>
      </c>
      <c r="N7" s="184"/>
    </row>
    <row r="8" spans="1:14" ht="19.5" customHeight="1">
      <c r="A8" s="183">
        <v>4445</v>
      </c>
      <c r="B8" s="183">
        <v>3421</v>
      </c>
      <c r="C8" s="183">
        <v>6121</v>
      </c>
      <c r="D8" s="183">
        <v>6</v>
      </c>
      <c r="E8" s="184" t="s">
        <v>708</v>
      </c>
      <c r="F8" s="185">
        <v>59</v>
      </c>
      <c r="G8" s="186">
        <v>59000</v>
      </c>
      <c r="H8" s="186"/>
      <c r="I8" s="186">
        <f t="shared" si="1"/>
        <v>59000</v>
      </c>
      <c r="J8" s="186">
        <v>0</v>
      </c>
      <c r="K8" s="186">
        <v>55768.16</v>
      </c>
      <c r="L8" s="186">
        <f t="shared" si="0"/>
        <v>55768.16</v>
      </c>
      <c r="M8" s="186">
        <f>L8/I8*100</f>
        <v>94.52230508474577</v>
      </c>
      <c r="N8" s="184"/>
    </row>
    <row r="9" spans="1:14" ht="19.5" customHeight="1">
      <c r="A9" s="183">
        <v>4461</v>
      </c>
      <c r="B9" s="183">
        <v>2212</v>
      </c>
      <c r="C9" s="183">
        <v>6121</v>
      </c>
      <c r="D9" s="183">
        <v>7</v>
      </c>
      <c r="E9" s="184" t="s">
        <v>709</v>
      </c>
      <c r="F9" s="185">
        <v>5900</v>
      </c>
      <c r="G9" s="186">
        <v>27380813.57</v>
      </c>
      <c r="H9" s="186"/>
      <c r="I9" s="186">
        <f t="shared" si="1"/>
        <v>27380813.57</v>
      </c>
      <c r="J9" s="186">
        <v>0</v>
      </c>
      <c r="K9" s="186">
        <v>24622401.85</v>
      </c>
      <c r="L9" s="186">
        <f t="shared" si="0"/>
        <v>24622401.85</v>
      </c>
      <c r="M9" s="186">
        <f>L9/I9*100</f>
        <v>89.9257496021876</v>
      </c>
      <c r="N9" s="184"/>
    </row>
    <row r="10" spans="1:14" ht="19.5" customHeight="1">
      <c r="A10" s="183">
        <v>4655</v>
      </c>
      <c r="B10" s="183">
        <v>2321</v>
      </c>
      <c r="C10" s="183">
        <v>6121</v>
      </c>
      <c r="D10" s="183">
        <v>8</v>
      </c>
      <c r="E10" s="184" t="s">
        <v>710</v>
      </c>
      <c r="F10" s="185">
        <v>0</v>
      </c>
      <c r="G10" s="186">
        <v>50000</v>
      </c>
      <c r="H10" s="186"/>
      <c r="I10" s="186">
        <f t="shared" si="1"/>
        <v>50000</v>
      </c>
      <c r="J10" s="186">
        <v>7466.43</v>
      </c>
      <c r="K10" s="186">
        <v>39296.57</v>
      </c>
      <c r="L10" s="186">
        <f t="shared" si="0"/>
        <v>46763</v>
      </c>
      <c r="M10" s="186">
        <f>L10/I10*100</f>
        <v>93.526</v>
      </c>
      <c r="N10" s="184"/>
    </row>
    <row r="11" spans="1:14" ht="19.5" customHeight="1">
      <c r="A11" s="183">
        <v>735</v>
      </c>
      <c r="B11" s="183">
        <v>2212</v>
      </c>
      <c r="C11" s="183">
        <v>6121</v>
      </c>
      <c r="D11" s="183">
        <v>9</v>
      </c>
      <c r="E11" s="184" t="s">
        <v>711</v>
      </c>
      <c r="F11" s="185">
        <v>3200</v>
      </c>
      <c r="G11" s="186">
        <v>0</v>
      </c>
      <c r="H11" s="186"/>
      <c r="I11" s="186">
        <f t="shared" si="1"/>
        <v>0</v>
      </c>
      <c r="J11" s="186">
        <v>0</v>
      </c>
      <c r="K11" s="186">
        <v>0</v>
      </c>
      <c r="L11" s="186">
        <f t="shared" si="0"/>
        <v>0</v>
      </c>
      <c r="M11" s="186">
        <v>0</v>
      </c>
      <c r="N11" s="184"/>
    </row>
    <row r="12" spans="1:14" ht="19.5" customHeight="1">
      <c r="A12" s="183">
        <v>4629</v>
      </c>
      <c r="B12" s="183">
        <v>2212</v>
      </c>
      <c r="C12" s="183">
        <v>6121</v>
      </c>
      <c r="D12" s="183">
        <v>10</v>
      </c>
      <c r="E12" s="184" t="s">
        <v>712</v>
      </c>
      <c r="F12" s="185">
        <v>0</v>
      </c>
      <c r="G12" s="186">
        <v>2731340</v>
      </c>
      <c r="H12" s="186"/>
      <c r="I12" s="186">
        <f t="shared" si="1"/>
        <v>2731340</v>
      </c>
      <c r="J12" s="186">
        <v>0</v>
      </c>
      <c r="K12" s="186">
        <v>2644641</v>
      </c>
      <c r="L12" s="186">
        <f t="shared" si="0"/>
        <v>2644641</v>
      </c>
      <c r="M12" s="186">
        <f aca="true" t="shared" si="2" ref="M12:M23">L12/I12*100</f>
        <v>96.8257705009263</v>
      </c>
      <c r="N12" s="184"/>
    </row>
    <row r="13" spans="1:14" ht="19.5" customHeight="1">
      <c r="A13" s="183">
        <v>4652</v>
      </c>
      <c r="B13" s="183">
        <v>2212</v>
      </c>
      <c r="C13" s="183">
        <v>6121</v>
      </c>
      <c r="D13" s="183">
        <v>11</v>
      </c>
      <c r="E13" s="184" t="s">
        <v>713</v>
      </c>
      <c r="F13" s="185">
        <v>0</v>
      </c>
      <c r="G13" s="186">
        <v>470000</v>
      </c>
      <c r="H13" s="186"/>
      <c r="I13" s="186">
        <f t="shared" si="1"/>
        <v>470000</v>
      </c>
      <c r="J13" s="186">
        <v>0</v>
      </c>
      <c r="K13" s="186">
        <v>436314</v>
      </c>
      <c r="L13" s="186">
        <f t="shared" si="0"/>
        <v>436314</v>
      </c>
      <c r="M13" s="186">
        <f t="shared" si="2"/>
        <v>92.83276595744681</v>
      </c>
      <c r="N13" s="184"/>
    </row>
    <row r="14" spans="1:14" ht="19.5" customHeight="1">
      <c r="A14" s="183">
        <v>4393</v>
      </c>
      <c r="B14" s="183">
        <v>3421</v>
      </c>
      <c r="C14" s="183">
        <v>6121</v>
      </c>
      <c r="D14" s="183">
        <v>12</v>
      </c>
      <c r="E14" s="184" t="s">
        <v>714</v>
      </c>
      <c r="F14" s="185">
        <v>260</v>
      </c>
      <c r="G14" s="186">
        <v>260000</v>
      </c>
      <c r="H14" s="186"/>
      <c r="I14" s="186">
        <f t="shared" si="1"/>
        <v>260000</v>
      </c>
      <c r="J14" s="186">
        <v>0</v>
      </c>
      <c r="K14" s="186">
        <v>184164.6</v>
      </c>
      <c r="L14" s="186">
        <f t="shared" si="0"/>
        <v>184164.6</v>
      </c>
      <c r="M14" s="186">
        <f t="shared" si="2"/>
        <v>70.83253846153846</v>
      </c>
      <c r="N14" s="184"/>
    </row>
    <row r="15" spans="1:14" ht="19.5" customHeight="1">
      <c r="A15" s="183">
        <v>4592</v>
      </c>
      <c r="B15" s="183">
        <v>3631</v>
      </c>
      <c r="C15" s="183">
        <v>6121</v>
      </c>
      <c r="D15" s="183">
        <v>13</v>
      </c>
      <c r="E15" s="184" t="s">
        <v>715</v>
      </c>
      <c r="F15" s="185">
        <v>0</v>
      </c>
      <c r="G15" s="186">
        <v>68000</v>
      </c>
      <c r="H15" s="186"/>
      <c r="I15" s="186">
        <f t="shared" si="1"/>
        <v>68000</v>
      </c>
      <c r="J15" s="186">
        <v>0</v>
      </c>
      <c r="K15" s="186">
        <v>67681.4</v>
      </c>
      <c r="L15" s="186">
        <f t="shared" si="0"/>
        <v>67681.4</v>
      </c>
      <c r="M15" s="186">
        <f t="shared" si="2"/>
        <v>99.53147058823528</v>
      </c>
      <c r="N15" s="184"/>
    </row>
    <row r="16" spans="1:14" ht="19.5" customHeight="1">
      <c r="A16" s="183">
        <v>749</v>
      </c>
      <c r="B16" s="183">
        <v>2219</v>
      </c>
      <c r="C16" s="183">
        <v>6121</v>
      </c>
      <c r="D16" s="183">
        <v>14</v>
      </c>
      <c r="E16" s="184" t="s">
        <v>716</v>
      </c>
      <c r="F16" s="185">
        <v>3000</v>
      </c>
      <c r="G16" s="186">
        <v>333000</v>
      </c>
      <c r="H16" s="186"/>
      <c r="I16" s="186">
        <f t="shared" si="1"/>
        <v>333000</v>
      </c>
      <c r="J16" s="186">
        <v>0</v>
      </c>
      <c r="K16" s="186">
        <v>0</v>
      </c>
      <c r="L16" s="186">
        <f t="shared" si="0"/>
        <v>0</v>
      </c>
      <c r="M16" s="186">
        <f t="shared" si="2"/>
        <v>0</v>
      </c>
      <c r="N16" s="184"/>
    </row>
    <row r="17" spans="1:14" ht="19.5" customHeight="1">
      <c r="A17" s="183">
        <v>4660</v>
      </c>
      <c r="B17" s="183">
        <v>3745</v>
      </c>
      <c r="C17" s="183">
        <v>6121</v>
      </c>
      <c r="D17" s="183">
        <v>15</v>
      </c>
      <c r="E17" s="184" t="s">
        <v>717</v>
      </c>
      <c r="F17" s="185">
        <v>0</v>
      </c>
      <c r="G17" s="186">
        <v>197000</v>
      </c>
      <c r="H17" s="186"/>
      <c r="I17" s="186">
        <f t="shared" si="1"/>
        <v>197000</v>
      </c>
      <c r="J17" s="186">
        <v>0</v>
      </c>
      <c r="K17" s="186">
        <v>34513</v>
      </c>
      <c r="L17" s="186">
        <f t="shared" si="0"/>
        <v>34513</v>
      </c>
      <c r="M17" s="186">
        <f t="shared" si="2"/>
        <v>17.519289340101523</v>
      </c>
      <c r="N17" s="184"/>
    </row>
    <row r="18" spans="1:14" ht="19.5" customHeight="1">
      <c r="A18" s="183">
        <v>4661</v>
      </c>
      <c r="B18" s="183">
        <v>3745</v>
      </c>
      <c r="C18" s="183">
        <v>6121</v>
      </c>
      <c r="D18" s="183">
        <v>16</v>
      </c>
      <c r="E18" s="184" t="s">
        <v>718</v>
      </c>
      <c r="F18" s="185">
        <v>0</v>
      </c>
      <c r="G18" s="186">
        <v>300000</v>
      </c>
      <c r="H18" s="186"/>
      <c r="I18" s="186">
        <f t="shared" si="1"/>
        <v>300000</v>
      </c>
      <c r="J18" s="186">
        <v>0</v>
      </c>
      <c r="K18" s="186">
        <v>0</v>
      </c>
      <c r="L18" s="186">
        <f t="shared" si="0"/>
        <v>0</v>
      </c>
      <c r="M18" s="186">
        <f t="shared" si="2"/>
        <v>0</v>
      </c>
      <c r="N18" s="184"/>
    </row>
    <row r="19" spans="1:14" ht="19.5" customHeight="1">
      <c r="A19" s="183">
        <v>4613</v>
      </c>
      <c r="B19" s="183">
        <v>2219</v>
      </c>
      <c r="C19" s="183">
        <v>6121</v>
      </c>
      <c r="D19" s="183">
        <v>17</v>
      </c>
      <c r="E19" s="184" t="s">
        <v>719</v>
      </c>
      <c r="F19" s="185">
        <v>0</v>
      </c>
      <c r="G19" s="186">
        <v>136000</v>
      </c>
      <c r="H19" s="186"/>
      <c r="I19" s="186">
        <f t="shared" si="1"/>
        <v>136000</v>
      </c>
      <c r="J19" s="186">
        <v>0</v>
      </c>
      <c r="K19" s="186">
        <v>135612.4</v>
      </c>
      <c r="L19" s="186">
        <f t="shared" si="0"/>
        <v>135612.4</v>
      </c>
      <c r="M19" s="186">
        <f t="shared" si="2"/>
        <v>99.715</v>
      </c>
      <c r="N19" s="184"/>
    </row>
    <row r="20" spans="1:14" ht="19.5" customHeight="1">
      <c r="A20" s="183">
        <v>4642</v>
      </c>
      <c r="B20" s="183">
        <v>3632</v>
      </c>
      <c r="C20" s="183">
        <v>6121</v>
      </c>
      <c r="D20" s="183">
        <v>18</v>
      </c>
      <c r="E20" s="184" t="s">
        <v>720</v>
      </c>
      <c r="F20" s="185">
        <v>0</v>
      </c>
      <c r="G20" s="186">
        <v>120000</v>
      </c>
      <c r="H20" s="186"/>
      <c r="I20" s="186">
        <f t="shared" si="1"/>
        <v>120000</v>
      </c>
      <c r="J20" s="186">
        <v>0</v>
      </c>
      <c r="K20" s="186">
        <v>59369.1</v>
      </c>
      <c r="L20" s="186">
        <f t="shared" si="0"/>
        <v>59369.1</v>
      </c>
      <c r="M20" s="186">
        <f t="shared" si="2"/>
        <v>49.47425</v>
      </c>
      <c r="N20" s="184"/>
    </row>
    <row r="21" spans="1:14" ht="19.5" customHeight="1">
      <c r="A21" s="183">
        <v>4663</v>
      </c>
      <c r="B21" s="183">
        <v>5512</v>
      </c>
      <c r="C21" s="183">
        <v>6121</v>
      </c>
      <c r="D21" s="183">
        <v>19</v>
      </c>
      <c r="E21" s="184" t="s">
        <v>721</v>
      </c>
      <c r="F21" s="185">
        <v>0</v>
      </c>
      <c r="G21" s="186">
        <v>250000</v>
      </c>
      <c r="H21" s="186"/>
      <c r="I21" s="186">
        <f t="shared" si="1"/>
        <v>250000</v>
      </c>
      <c r="J21" s="186">
        <v>0</v>
      </c>
      <c r="K21" s="186">
        <v>0</v>
      </c>
      <c r="L21" s="186">
        <f t="shared" si="0"/>
        <v>0</v>
      </c>
      <c r="M21" s="186">
        <f t="shared" si="2"/>
        <v>0</v>
      </c>
      <c r="N21" s="184"/>
    </row>
    <row r="22" spans="1:14" ht="19.5" customHeight="1">
      <c r="A22" s="183">
        <v>4689</v>
      </c>
      <c r="B22" s="183">
        <v>3635</v>
      </c>
      <c r="C22" s="183">
        <v>6121</v>
      </c>
      <c r="D22" s="183">
        <v>20</v>
      </c>
      <c r="E22" s="184" t="s">
        <v>722</v>
      </c>
      <c r="F22" s="185">
        <v>0</v>
      </c>
      <c r="G22" s="186">
        <v>825000</v>
      </c>
      <c r="H22" s="186"/>
      <c r="I22" s="186">
        <f t="shared" si="1"/>
        <v>825000</v>
      </c>
      <c r="J22" s="186">
        <v>0</v>
      </c>
      <c r="K22" s="186">
        <v>824099</v>
      </c>
      <c r="L22" s="186">
        <f t="shared" si="0"/>
        <v>824099</v>
      </c>
      <c r="M22" s="186">
        <f t="shared" si="2"/>
        <v>99.89078787878788</v>
      </c>
      <c r="N22" s="184" t="s">
        <v>723</v>
      </c>
    </row>
    <row r="23" spans="1:14" ht="19.5" customHeight="1">
      <c r="A23" s="183">
        <v>4185</v>
      </c>
      <c r="B23" s="183">
        <v>2321</v>
      </c>
      <c r="C23" s="183">
        <v>6121</v>
      </c>
      <c r="D23" s="183">
        <v>21</v>
      </c>
      <c r="E23" s="184" t="s">
        <v>724</v>
      </c>
      <c r="F23" s="185">
        <v>410</v>
      </c>
      <c r="G23" s="186">
        <v>410000</v>
      </c>
      <c r="H23" s="186"/>
      <c r="I23" s="186">
        <f t="shared" si="1"/>
        <v>410000</v>
      </c>
      <c r="J23" s="186">
        <v>0</v>
      </c>
      <c r="K23" s="186">
        <v>388887</v>
      </c>
      <c r="L23" s="186">
        <f t="shared" si="0"/>
        <v>388887</v>
      </c>
      <c r="M23" s="186">
        <f t="shared" si="2"/>
        <v>94.85048780487804</v>
      </c>
      <c r="N23" s="184"/>
    </row>
    <row r="24" spans="1:14" ht="19.5" customHeight="1">
      <c r="A24" s="183">
        <v>4531</v>
      </c>
      <c r="B24" s="183">
        <v>2219</v>
      </c>
      <c r="C24" s="183">
        <v>6121</v>
      </c>
      <c r="D24" s="183">
        <v>22</v>
      </c>
      <c r="E24" s="184" t="s">
        <v>725</v>
      </c>
      <c r="F24" s="185">
        <v>300</v>
      </c>
      <c r="G24" s="186">
        <v>0</v>
      </c>
      <c r="H24" s="186"/>
      <c r="I24" s="186">
        <f t="shared" si="1"/>
        <v>0</v>
      </c>
      <c r="J24" s="186">
        <v>0</v>
      </c>
      <c r="K24" s="186">
        <v>0</v>
      </c>
      <c r="L24" s="186">
        <f t="shared" si="0"/>
        <v>0</v>
      </c>
      <c r="M24" s="186">
        <v>0</v>
      </c>
      <c r="N24" s="184"/>
    </row>
    <row r="25" spans="1:14" ht="19.5" customHeight="1">
      <c r="A25" s="183">
        <v>569</v>
      </c>
      <c r="B25" s="183">
        <v>2271</v>
      </c>
      <c r="C25" s="183">
        <v>6121</v>
      </c>
      <c r="D25" s="183">
        <v>23</v>
      </c>
      <c r="E25" s="184" t="s">
        <v>726</v>
      </c>
      <c r="F25" s="185">
        <v>1500</v>
      </c>
      <c r="G25" s="186">
        <v>2425000</v>
      </c>
      <c r="H25" s="186"/>
      <c r="I25" s="186">
        <f t="shared" si="1"/>
        <v>2425000</v>
      </c>
      <c r="J25" s="186">
        <v>0</v>
      </c>
      <c r="K25" s="186">
        <v>2387156.6</v>
      </c>
      <c r="L25" s="186">
        <f t="shared" si="0"/>
        <v>2387156.6</v>
      </c>
      <c r="M25" s="186">
        <f>L25/I25*100</f>
        <v>98.43944742268042</v>
      </c>
      <c r="N25" s="184"/>
    </row>
    <row r="26" spans="1:14" ht="19.5" customHeight="1">
      <c r="A26" s="183">
        <v>4675</v>
      </c>
      <c r="B26" s="183">
        <v>3421</v>
      </c>
      <c r="C26" s="183">
        <v>6121</v>
      </c>
      <c r="D26" s="183">
        <v>24</v>
      </c>
      <c r="E26" s="184" t="s">
        <v>727</v>
      </c>
      <c r="F26" s="185">
        <v>0</v>
      </c>
      <c r="G26" s="186">
        <v>671000</v>
      </c>
      <c r="H26" s="186"/>
      <c r="I26" s="186">
        <f t="shared" si="1"/>
        <v>671000</v>
      </c>
      <c r="J26" s="186">
        <v>0</v>
      </c>
      <c r="K26" s="186">
        <v>411971.6</v>
      </c>
      <c r="L26" s="186">
        <f t="shared" si="0"/>
        <v>411971.6</v>
      </c>
      <c r="M26" s="186">
        <f>L26/I26*100</f>
        <v>61.39666169895678</v>
      </c>
      <c r="N26" s="184"/>
    </row>
    <row r="27" spans="1:14" ht="19.5" customHeight="1">
      <c r="A27" s="183">
        <v>1063</v>
      </c>
      <c r="B27" s="183">
        <v>2321</v>
      </c>
      <c r="C27" s="183">
        <v>6121</v>
      </c>
      <c r="D27" s="183">
        <v>25</v>
      </c>
      <c r="E27" s="184" t="s">
        <v>728</v>
      </c>
      <c r="F27" s="185">
        <v>100000</v>
      </c>
      <c r="G27" s="186">
        <v>54687000</v>
      </c>
      <c r="H27" s="186"/>
      <c r="I27" s="186">
        <f t="shared" si="1"/>
        <v>54687000</v>
      </c>
      <c r="J27" s="186">
        <v>9427661.15</v>
      </c>
      <c r="K27" s="186">
        <v>45257266.04</v>
      </c>
      <c r="L27" s="186">
        <f t="shared" si="0"/>
        <v>54684927.19</v>
      </c>
      <c r="M27" s="186">
        <f>L27/I27*100</f>
        <v>99.99620968420282</v>
      </c>
      <c r="N27" s="184"/>
    </row>
    <row r="28" spans="1:14" ht="19.5" customHeight="1">
      <c r="A28" s="183">
        <v>4517</v>
      </c>
      <c r="B28" s="183">
        <v>3635</v>
      </c>
      <c r="C28" s="183">
        <v>6121</v>
      </c>
      <c r="D28" s="183">
        <v>26</v>
      </c>
      <c r="E28" s="184" t="s">
        <v>729</v>
      </c>
      <c r="F28" s="185">
        <v>3000</v>
      </c>
      <c r="G28" s="186">
        <v>0</v>
      </c>
      <c r="H28" s="186"/>
      <c r="I28" s="186">
        <f t="shared" si="1"/>
        <v>0</v>
      </c>
      <c r="J28" s="186">
        <v>0</v>
      </c>
      <c r="K28" s="186">
        <v>0</v>
      </c>
      <c r="L28" s="186">
        <f t="shared" si="0"/>
        <v>0</v>
      </c>
      <c r="M28" s="186">
        <v>0</v>
      </c>
      <c r="N28" s="184"/>
    </row>
    <row r="29" spans="1:14" ht="19.5" customHeight="1">
      <c r="A29" s="183">
        <v>1091</v>
      </c>
      <c r="B29" s="183">
        <v>3633</v>
      </c>
      <c r="C29" s="183">
        <v>6121</v>
      </c>
      <c r="D29" s="183">
        <v>27</v>
      </c>
      <c r="E29" s="184" t="s">
        <v>730</v>
      </c>
      <c r="F29" s="185">
        <v>0</v>
      </c>
      <c r="G29" s="186">
        <v>20000</v>
      </c>
      <c r="H29" s="186"/>
      <c r="I29" s="186">
        <f t="shared" si="1"/>
        <v>20000</v>
      </c>
      <c r="J29" s="186">
        <v>0</v>
      </c>
      <c r="K29" s="186">
        <v>14449</v>
      </c>
      <c r="L29" s="186">
        <f t="shared" si="0"/>
        <v>14449</v>
      </c>
      <c r="M29" s="186">
        <f>L29/I29*100</f>
        <v>72.245</v>
      </c>
      <c r="N29" s="184"/>
    </row>
    <row r="30" spans="1:14" ht="19.5" customHeight="1">
      <c r="A30" s="183">
        <v>4696</v>
      </c>
      <c r="B30" s="183">
        <v>2321</v>
      </c>
      <c r="C30" s="183">
        <v>6121</v>
      </c>
      <c r="D30" s="183">
        <v>28</v>
      </c>
      <c r="E30" s="184" t="s">
        <v>731</v>
      </c>
      <c r="F30" s="185">
        <v>0</v>
      </c>
      <c r="G30" s="186">
        <v>2000</v>
      </c>
      <c r="H30" s="186"/>
      <c r="I30" s="186">
        <f t="shared" si="1"/>
        <v>2000</v>
      </c>
      <c r="J30" s="186">
        <v>0</v>
      </c>
      <c r="K30" s="186">
        <v>0</v>
      </c>
      <c r="L30" s="186">
        <v>0</v>
      </c>
      <c r="M30" s="186">
        <v>0</v>
      </c>
      <c r="N30" s="184"/>
    </row>
    <row r="31" spans="1:14" ht="19.5" customHeight="1">
      <c r="A31" s="183">
        <v>4269</v>
      </c>
      <c r="B31" s="183">
        <v>3631</v>
      </c>
      <c r="C31" s="183">
        <v>6121</v>
      </c>
      <c r="D31" s="183">
        <v>29</v>
      </c>
      <c r="E31" s="184" t="s">
        <v>732</v>
      </c>
      <c r="F31" s="185">
        <v>0</v>
      </c>
      <c r="G31" s="186">
        <v>291000</v>
      </c>
      <c r="H31" s="186"/>
      <c r="I31" s="186">
        <f t="shared" si="1"/>
        <v>291000</v>
      </c>
      <c r="J31" s="186">
        <v>0</v>
      </c>
      <c r="K31" s="186">
        <v>290054</v>
      </c>
      <c r="L31" s="186">
        <f aca="true" t="shared" si="3" ref="L31:L62">J31+K31</f>
        <v>290054</v>
      </c>
      <c r="M31" s="186">
        <f aca="true" t="shared" si="4" ref="M31:M41">L31/I31*100</f>
        <v>99.67491408934708</v>
      </c>
      <c r="N31" s="184"/>
    </row>
    <row r="32" spans="1:14" ht="19.5" customHeight="1">
      <c r="A32" s="183">
        <v>4596</v>
      </c>
      <c r="B32" s="183">
        <v>3341</v>
      </c>
      <c r="C32" s="183">
        <v>6121</v>
      </c>
      <c r="D32" s="183">
        <v>30</v>
      </c>
      <c r="E32" s="184" t="s">
        <v>733</v>
      </c>
      <c r="F32" s="185">
        <v>0</v>
      </c>
      <c r="G32" s="186">
        <v>34000</v>
      </c>
      <c r="H32" s="186"/>
      <c r="I32" s="186">
        <f t="shared" si="1"/>
        <v>34000</v>
      </c>
      <c r="J32" s="186">
        <v>0</v>
      </c>
      <c r="K32" s="186">
        <v>34000</v>
      </c>
      <c r="L32" s="186">
        <f t="shared" si="3"/>
        <v>34000</v>
      </c>
      <c r="M32" s="186">
        <f t="shared" si="4"/>
        <v>100</v>
      </c>
      <c r="N32" s="184"/>
    </row>
    <row r="33" spans="1:14" s="188" customFormat="1" ht="19.5" customHeight="1">
      <c r="A33" s="183">
        <v>4519</v>
      </c>
      <c r="B33" s="183">
        <v>2140</v>
      </c>
      <c r="C33" s="183">
        <v>6121</v>
      </c>
      <c r="D33" s="183">
        <v>31</v>
      </c>
      <c r="E33" s="184" t="s">
        <v>734</v>
      </c>
      <c r="F33" s="185">
        <v>1800</v>
      </c>
      <c r="G33" s="186">
        <v>2650000</v>
      </c>
      <c r="H33" s="186"/>
      <c r="I33" s="186">
        <v>2650000</v>
      </c>
      <c r="J33" s="186">
        <v>0</v>
      </c>
      <c r="K33" s="186">
        <v>1651125</v>
      </c>
      <c r="L33" s="186">
        <f t="shared" si="3"/>
        <v>1651125</v>
      </c>
      <c r="M33" s="186">
        <f t="shared" si="4"/>
        <v>62.306603773584904</v>
      </c>
      <c r="N33" s="187"/>
    </row>
    <row r="34" spans="1:14" s="188" customFormat="1" ht="19.5" customHeight="1">
      <c r="A34" s="183">
        <v>4360</v>
      </c>
      <c r="B34" s="183">
        <v>2219</v>
      </c>
      <c r="C34" s="183">
        <v>6121</v>
      </c>
      <c r="D34" s="183">
        <v>32</v>
      </c>
      <c r="E34" s="184" t="s">
        <v>735</v>
      </c>
      <c r="F34" s="185">
        <v>0</v>
      </c>
      <c r="G34" s="186">
        <v>1260000</v>
      </c>
      <c r="H34" s="186"/>
      <c r="I34" s="186">
        <f aca="true" t="shared" si="5" ref="I34:I45">G34+H34</f>
        <v>1260000</v>
      </c>
      <c r="J34" s="186">
        <v>0</v>
      </c>
      <c r="K34" s="186">
        <v>1255346</v>
      </c>
      <c r="L34" s="186">
        <f t="shared" si="3"/>
        <v>1255346</v>
      </c>
      <c r="M34" s="186">
        <f t="shared" si="4"/>
        <v>99.63063492063492</v>
      </c>
      <c r="N34" s="187"/>
    </row>
    <row r="35" spans="1:14" ht="19.5" customHeight="1">
      <c r="A35" s="183">
        <v>4479</v>
      </c>
      <c r="B35" s="183">
        <v>2219</v>
      </c>
      <c r="C35" s="183">
        <v>6121</v>
      </c>
      <c r="D35" s="183">
        <v>33</v>
      </c>
      <c r="E35" s="184" t="s">
        <v>736</v>
      </c>
      <c r="F35" s="185">
        <v>340</v>
      </c>
      <c r="G35" s="186">
        <v>475000</v>
      </c>
      <c r="H35" s="186"/>
      <c r="I35" s="186">
        <f t="shared" si="5"/>
        <v>475000</v>
      </c>
      <c r="J35" s="186">
        <v>0</v>
      </c>
      <c r="K35" s="186">
        <v>472203.63</v>
      </c>
      <c r="L35" s="186">
        <f t="shared" si="3"/>
        <v>472203.63</v>
      </c>
      <c r="M35" s="186">
        <f t="shared" si="4"/>
        <v>99.41129052631578</v>
      </c>
      <c r="N35" s="184"/>
    </row>
    <row r="36" spans="1:14" ht="19.5" customHeight="1">
      <c r="A36" s="183">
        <v>4488</v>
      </c>
      <c r="B36" s="183">
        <v>3329</v>
      </c>
      <c r="C36" s="183">
        <v>6121</v>
      </c>
      <c r="D36" s="183">
        <v>34</v>
      </c>
      <c r="E36" s="184" t="s">
        <v>737</v>
      </c>
      <c r="F36" s="185">
        <v>440</v>
      </c>
      <c r="G36" s="186">
        <v>798000</v>
      </c>
      <c r="H36" s="186"/>
      <c r="I36" s="186">
        <f t="shared" si="5"/>
        <v>798000</v>
      </c>
      <c r="J36" s="186">
        <v>0</v>
      </c>
      <c r="K36" s="186">
        <v>798000</v>
      </c>
      <c r="L36" s="186">
        <f t="shared" si="3"/>
        <v>798000</v>
      </c>
      <c r="M36" s="186">
        <f t="shared" si="4"/>
        <v>100</v>
      </c>
      <c r="N36" s="184"/>
    </row>
    <row r="37" spans="1:14" ht="19.5" customHeight="1">
      <c r="A37" s="183">
        <v>4488</v>
      </c>
      <c r="B37" s="183">
        <v>3329</v>
      </c>
      <c r="C37" s="183">
        <v>6121</v>
      </c>
      <c r="D37" s="183">
        <v>35</v>
      </c>
      <c r="E37" s="184" t="s">
        <v>737</v>
      </c>
      <c r="F37" s="185">
        <v>0</v>
      </c>
      <c r="G37" s="186">
        <v>1500000</v>
      </c>
      <c r="H37" s="186"/>
      <c r="I37" s="186">
        <f t="shared" si="5"/>
        <v>1500000</v>
      </c>
      <c r="J37" s="186">
        <v>0</v>
      </c>
      <c r="K37" s="186">
        <v>1056302</v>
      </c>
      <c r="L37" s="186">
        <f t="shared" si="3"/>
        <v>1056302</v>
      </c>
      <c r="M37" s="186">
        <f t="shared" si="4"/>
        <v>70.42013333333334</v>
      </c>
      <c r="N37" s="191" t="s">
        <v>738</v>
      </c>
    </row>
    <row r="38" spans="1:14" ht="19.5" customHeight="1">
      <c r="A38" s="183">
        <v>908</v>
      </c>
      <c r="B38" s="183">
        <v>3729</v>
      </c>
      <c r="C38" s="183">
        <v>6121</v>
      </c>
      <c r="D38" s="183">
        <v>36</v>
      </c>
      <c r="E38" s="184" t="s">
        <v>739</v>
      </c>
      <c r="F38" s="185">
        <v>0</v>
      </c>
      <c r="G38" s="186">
        <v>2497000</v>
      </c>
      <c r="H38" s="186"/>
      <c r="I38" s="186">
        <f t="shared" si="5"/>
        <v>2497000</v>
      </c>
      <c r="J38" s="186">
        <v>0</v>
      </c>
      <c r="K38" s="186">
        <v>2474580.2</v>
      </c>
      <c r="L38" s="186">
        <f t="shared" si="3"/>
        <v>2474580.2</v>
      </c>
      <c r="M38" s="186">
        <f t="shared" si="4"/>
        <v>99.10213055666802</v>
      </c>
      <c r="N38" s="191"/>
    </row>
    <row r="39" spans="1:14" ht="19.5" customHeight="1">
      <c r="A39" s="183">
        <v>4662</v>
      </c>
      <c r="B39" s="183">
        <v>3121</v>
      </c>
      <c r="C39" s="183">
        <v>6121</v>
      </c>
      <c r="D39" s="183">
        <v>37</v>
      </c>
      <c r="E39" s="184" t="s">
        <v>740</v>
      </c>
      <c r="F39" s="185">
        <v>0</v>
      </c>
      <c r="G39" s="186">
        <v>1170664.6</v>
      </c>
      <c r="H39" s="186"/>
      <c r="I39" s="186">
        <f t="shared" si="5"/>
        <v>1170664.6</v>
      </c>
      <c r="J39" s="186">
        <v>0</v>
      </c>
      <c r="K39" s="186">
        <v>1169853.48</v>
      </c>
      <c r="L39" s="186">
        <f t="shared" si="3"/>
        <v>1169853.48</v>
      </c>
      <c r="M39" s="186">
        <f t="shared" si="4"/>
        <v>99.93071286173681</v>
      </c>
      <c r="N39" s="192" t="s">
        <v>741</v>
      </c>
    </row>
    <row r="40" spans="1:14" ht="19.5" customHeight="1">
      <c r="A40" s="183">
        <v>4662</v>
      </c>
      <c r="B40" s="183">
        <v>3121</v>
      </c>
      <c r="C40" s="183">
        <v>6121</v>
      </c>
      <c r="D40" s="183">
        <v>38</v>
      </c>
      <c r="E40" s="184" t="s">
        <v>740</v>
      </c>
      <c r="F40" s="185">
        <v>0</v>
      </c>
      <c r="G40" s="186">
        <v>400000</v>
      </c>
      <c r="H40" s="186"/>
      <c r="I40" s="186">
        <f t="shared" si="5"/>
        <v>400000</v>
      </c>
      <c r="J40" s="186">
        <v>0</v>
      </c>
      <c r="K40" s="186">
        <v>400000</v>
      </c>
      <c r="L40" s="186">
        <f t="shared" si="3"/>
        <v>400000</v>
      </c>
      <c r="M40" s="186">
        <f t="shared" si="4"/>
        <v>100</v>
      </c>
      <c r="N40" s="191" t="s">
        <v>742</v>
      </c>
    </row>
    <row r="41" spans="1:14" ht="19.5" customHeight="1">
      <c r="A41" s="183">
        <v>4524</v>
      </c>
      <c r="B41" s="183">
        <v>6171</v>
      </c>
      <c r="C41" s="183">
        <v>6121</v>
      </c>
      <c r="D41" s="183">
        <v>39</v>
      </c>
      <c r="E41" s="184" t="s">
        <v>743</v>
      </c>
      <c r="F41" s="185">
        <v>200</v>
      </c>
      <c r="G41" s="186">
        <v>103000</v>
      </c>
      <c r="H41" s="186"/>
      <c r="I41" s="186">
        <f t="shared" si="5"/>
        <v>103000</v>
      </c>
      <c r="J41" s="186">
        <v>0</v>
      </c>
      <c r="K41" s="186">
        <v>72233</v>
      </c>
      <c r="L41" s="186">
        <f t="shared" si="3"/>
        <v>72233</v>
      </c>
      <c r="M41" s="186">
        <f t="shared" si="4"/>
        <v>70.12912621359223</v>
      </c>
      <c r="N41" s="184"/>
    </row>
    <row r="42" spans="1:14" ht="19.5" customHeight="1">
      <c r="A42" s="183">
        <v>4466</v>
      </c>
      <c r="B42" s="183">
        <v>6171</v>
      </c>
      <c r="C42" s="183">
        <v>6121</v>
      </c>
      <c r="D42" s="183">
        <v>40</v>
      </c>
      <c r="E42" s="184" t="s">
        <v>744</v>
      </c>
      <c r="F42" s="185">
        <v>250</v>
      </c>
      <c r="G42" s="186">
        <v>0</v>
      </c>
      <c r="H42" s="186"/>
      <c r="I42" s="186">
        <f t="shared" si="5"/>
        <v>0</v>
      </c>
      <c r="J42" s="186">
        <v>0</v>
      </c>
      <c r="K42" s="186">
        <v>0</v>
      </c>
      <c r="L42" s="186">
        <f t="shared" si="3"/>
        <v>0</v>
      </c>
      <c r="M42" s="186">
        <v>0</v>
      </c>
      <c r="N42" s="184"/>
    </row>
    <row r="43" spans="1:14" ht="19.5" customHeight="1">
      <c r="A43" s="183">
        <v>4307</v>
      </c>
      <c r="B43" s="183">
        <v>2219</v>
      </c>
      <c r="C43" s="183">
        <v>6121</v>
      </c>
      <c r="D43" s="183">
        <v>41</v>
      </c>
      <c r="E43" s="184" t="s">
        <v>745</v>
      </c>
      <c r="F43" s="185">
        <v>0</v>
      </c>
      <c r="G43" s="186">
        <v>15000</v>
      </c>
      <c r="H43" s="186"/>
      <c r="I43" s="186">
        <f t="shared" si="5"/>
        <v>15000</v>
      </c>
      <c r="J43" s="186">
        <v>0</v>
      </c>
      <c r="K43" s="186">
        <v>14844.06</v>
      </c>
      <c r="L43" s="186">
        <f t="shared" si="3"/>
        <v>14844.06</v>
      </c>
      <c r="M43" s="186">
        <f aca="true" t="shared" si="6" ref="M43:M58">L43/I43*100</f>
        <v>98.96039999999999</v>
      </c>
      <c r="N43" s="184"/>
    </row>
    <row r="44" spans="1:14" ht="19.5" customHeight="1">
      <c r="A44" s="183">
        <v>4366</v>
      </c>
      <c r="B44" s="183">
        <v>4333</v>
      </c>
      <c r="C44" s="183">
        <v>6121</v>
      </c>
      <c r="D44" s="183">
        <v>42</v>
      </c>
      <c r="E44" s="184" t="s">
        <v>746</v>
      </c>
      <c r="F44" s="185">
        <v>4000</v>
      </c>
      <c r="G44" s="186">
        <v>4715250</v>
      </c>
      <c r="H44" s="186"/>
      <c r="I44" s="186">
        <f t="shared" si="5"/>
        <v>4715250</v>
      </c>
      <c r="J44" s="186">
        <v>0</v>
      </c>
      <c r="K44" s="186">
        <v>3812785.7</v>
      </c>
      <c r="L44" s="186">
        <f t="shared" si="3"/>
        <v>3812785.7</v>
      </c>
      <c r="M44" s="186">
        <f t="shared" si="6"/>
        <v>80.86073272891151</v>
      </c>
      <c r="N44" s="193" t="s">
        <v>747</v>
      </c>
    </row>
    <row r="45" spans="1:14" ht="19.5" customHeight="1">
      <c r="A45" s="183">
        <v>4644</v>
      </c>
      <c r="B45" s="183">
        <v>3632</v>
      </c>
      <c r="C45" s="183">
        <v>6121</v>
      </c>
      <c r="D45" s="183">
        <v>43</v>
      </c>
      <c r="E45" s="184" t="s">
        <v>748</v>
      </c>
      <c r="F45" s="185">
        <v>0</v>
      </c>
      <c r="G45" s="186">
        <v>965000</v>
      </c>
      <c r="H45" s="186"/>
      <c r="I45" s="186">
        <f t="shared" si="5"/>
        <v>965000</v>
      </c>
      <c r="J45" s="186">
        <v>0</v>
      </c>
      <c r="K45" s="186">
        <v>947869</v>
      </c>
      <c r="L45" s="186">
        <f t="shared" si="3"/>
        <v>947869</v>
      </c>
      <c r="M45" s="186">
        <f t="shared" si="6"/>
        <v>98.22476683937825</v>
      </c>
      <c r="N45" s="184"/>
    </row>
    <row r="46" spans="1:14" ht="19.5" customHeight="1">
      <c r="A46" s="183">
        <v>870</v>
      </c>
      <c r="B46" s="183">
        <v>3639</v>
      </c>
      <c r="C46" s="183">
        <v>6121</v>
      </c>
      <c r="D46" s="183">
        <v>44</v>
      </c>
      <c r="E46" s="184" t="s">
        <v>749</v>
      </c>
      <c r="F46" s="185">
        <v>29400</v>
      </c>
      <c r="G46" s="186">
        <v>40687383.12</v>
      </c>
      <c r="H46" s="186">
        <f>5756.41-2662251.18</f>
        <v>-2656494.77</v>
      </c>
      <c r="I46" s="186">
        <v>37617500.35</v>
      </c>
      <c r="J46" s="186">
        <f>1211741.2+1469935.67+1469935.67</f>
        <v>4151612.54</v>
      </c>
      <c r="K46" s="186">
        <v>20315141.63</v>
      </c>
      <c r="L46" s="186">
        <f t="shared" si="3"/>
        <v>24466754.169999998</v>
      </c>
      <c r="M46" s="186">
        <f t="shared" si="6"/>
        <v>65.04088241471896</v>
      </c>
      <c r="N46" s="191" t="s">
        <v>750</v>
      </c>
    </row>
    <row r="47" spans="1:14" ht="19.5" customHeight="1" outlineLevel="1">
      <c r="A47" s="183">
        <v>8701</v>
      </c>
      <c r="B47" s="183">
        <v>3639</v>
      </c>
      <c r="C47" s="183">
        <v>6121</v>
      </c>
      <c r="D47" s="183">
        <v>45</v>
      </c>
      <c r="E47" s="184" t="s">
        <v>749</v>
      </c>
      <c r="F47" s="194">
        <v>0</v>
      </c>
      <c r="G47" s="186">
        <v>26258209.95</v>
      </c>
      <c r="H47" s="195">
        <f>-13073.52-2234398.51</f>
        <v>-2247472.03</v>
      </c>
      <c r="I47" s="186">
        <f>G47+H47+2575695.18</f>
        <v>26586433.099999998</v>
      </c>
      <c r="J47" s="186">
        <v>0</v>
      </c>
      <c r="K47" s="186">
        <v>26586433.1</v>
      </c>
      <c r="L47" s="186">
        <f t="shared" si="3"/>
        <v>26586433.1</v>
      </c>
      <c r="M47" s="186">
        <f t="shared" si="6"/>
        <v>100.00000000000003</v>
      </c>
      <c r="N47" s="191" t="s">
        <v>751</v>
      </c>
    </row>
    <row r="48" spans="1:14" ht="19.5" customHeight="1" outlineLevel="1">
      <c r="A48" s="183">
        <v>8701</v>
      </c>
      <c r="B48" s="183">
        <v>3639</v>
      </c>
      <c r="C48" s="183">
        <v>5163</v>
      </c>
      <c r="D48" s="183">
        <v>46</v>
      </c>
      <c r="E48" s="184" t="s">
        <v>749</v>
      </c>
      <c r="F48" s="194">
        <v>0</v>
      </c>
      <c r="G48" s="186">
        <v>0</v>
      </c>
      <c r="H48" s="195">
        <v>13073.52</v>
      </c>
      <c r="I48" s="186">
        <f>G48+H48</f>
        <v>13073.52</v>
      </c>
      <c r="J48" s="186">
        <v>0</v>
      </c>
      <c r="K48" s="186">
        <v>13073.52</v>
      </c>
      <c r="L48" s="186">
        <f t="shared" si="3"/>
        <v>13073.52</v>
      </c>
      <c r="M48" s="186">
        <f t="shared" si="6"/>
        <v>100</v>
      </c>
      <c r="N48" s="191" t="s">
        <v>751</v>
      </c>
    </row>
    <row r="49" spans="1:14" ht="19.5" customHeight="1" outlineLevel="1">
      <c r="A49" s="183">
        <v>8702</v>
      </c>
      <c r="B49" s="183">
        <v>3639</v>
      </c>
      <c r="C49" s="183">
        <v>6121</v>
      </c>
      <c r="D49" s="183">
        <v>47</v>
      </c>
      <c r="E49" s="184" t="s">
        <v>749</v>
      </c>
      <c r="F49" s="194">
        <v>0</v>
      </c>
      <c r="G49" s="186">
        <v>28117896.74</v>
      </c>
      <c r="H49" s="195">
        <f>-2234398.51-13073.51</f>
        <v>-2247472.0199999996</v>
      </c>
      <c r="I49" s="186">
        <f>26283812.72-2575695.18</f>
        <v>23708117.54</v>
      </c>
      <c r="J49" s="186">
        <v>0</v>
      </c>
      <c r="K49" s="186">
        <v>23708117.54</v>
      </c>
      <c r="L49" s="186">
        <f t="shared" si="3"/>
        <v>23708117.54</v>
      </c>
      <c r="M49" s="186">
        <f t="shared" si="6"/>
        <v>100</v>
      </c>
      <c r="N49" s="191" t="s">
        <v>751</v>
      </c>
    </row>
    <row r="50" spans="1:14" ht="19.5" customHeight="1" outlineLevel="1">
      <c r="A50" s="183">
        <v>8702</v>
      </c>
      <c r="B50" s="183">
        <v>3639</v>
      </c>
      <c r="C50" s="183">
        <v>5163</v>
      </c>
      <c r="D50" s="183">
        <v>48</v>
      </c>
      <c r="E50" s="184" t="s">
        <v>749</v>
      </c>
      <c r="F50" s="194">
        <v>0</v>
      </c>
      <c r="G50" s="186"/>
      <c r="H50" s="195">
        <v>13073.51</v>
      </c>
      <c r="I50" s="186">
        <f aca="true" t="shared" si="7" ref="I50:I81">G50+H50</f>
        <v>13073.51</v>
      </c>
      <c r="J50" s="186">
        <v>0</v>
      </c>
      <c r="K50" s="186">
        <v>13073.51</v>
      </c>
      <c r="L50" s="186">
        <f t="shared" si="3"/>
        <v>13073.51</v>
      </c>
      <c r="M50" s="186">
        <f t="shared" si="6"/>
        <v>100</v>
      </c>
      <c r="N50" s="191"/>
    </row>
    <row r="51" spans="1:14" ht="19.5" customHeight="1">
      <c r="A51" s="183">
        <v>4463</v>
      </c>
      <c r="B51" s="183">
        <v>2212</v>
      </c>
      <c r="C51" s="183">
        <v>6121</v>
      </c>
      <c r="D51" s="183">
        <v>49</v>
      </c>
      <c r="E51" s="184" t="s">
        <v>752</v>
      </c>
      <c r="F51" s="194">
        <v>0</v>
      </c>
      <c r="G51" s="186">
        <v>532000</v>
      </c>
      <c r="H51" s="195"/>
      <c r="I51" s="186">
        <f t="shared" si="7"/>
        <v>532000</v>
      </c>
      <c r="J51" s="186">
        <v>0</v>
      </c>
      <c r="K51" s="186">
        <v>531523</v>
      </c>
      <c r="L51" s="186">
        <f t="shared" si="3"/>
        <v>531523</v>
      </c>
      <c r="M51" s="186">
        <f t="shared" si="6"/>
        <v>99.91033834586466</v>
      </c>
      <c r="N51" s="184"/>
    </row>
    <row r="52" spans="1:14" s="200" customFormat="1" ht="19.5" customHeight="1">
      <c r="A52" s="196">
        <v>4401</v>
      </c>
      <c r="B52" s="196">
        <v>2321</v>
      </c>
      <c r="C52" s="196">
        <v>6121</v>
      </c>
      <c r="D52" s="183">
        <v>50</v>
      </c>
      <c r="E52" s="197" t="s">
        <v>753</v>
      </c>
      <c r="F52" s="198">
        <v>1035</v>
      </c>
      <c r="G52" s="186">
        <v>1035000</v>
      </c>
      <c r="H52" s="199"/>
      <c r="I52" s="186">
        <f t="shared" si="7"/>
        <v>1035000</v>
      </c>
      <c r="J52" s="186">
        <v>0</v>
      </c>
      <c r="K52" s="186">
        <v>1034250</v>
      </c>
      <c r="L52" s="186">
        <f t="shared" si="3"/>
        <v>1034250</v>
      </c>
      <c r="M52" s="186">
        <f t="shared" si="6"/>
        <v>99.92753623188406</v>
      </c>
      <c r="N52" s="187"/>
    </row>
    <row r="53" spans="1:14" s="200" customFormat="1" ht="19.5" customHeight="1">
      <c r="A53" s="196">
        <v>4267</v>
      </c>
      <c r="B53" s="196">
        <v>3631</v>
      </c>
      <c r="C53" s="196">
        <v>6121</v>
      </c>
      <c r="D53" s="183">
        <v>51</v>
      </c>
      <c r="E53" s="197" t="s">
        <v>754</v>
      </c>
      <c r="F53" s="198">
        <v>0</v>
      </c>
      <c r="G53" s="186">
        <v>683000</v>
      </c>
      <c r="H53" s="199"/>
      <c r="I53" s="186">
        <f t="shared" si="7"/>
        <v>683000</v>
      </c>
      <c r="J53" s="186">
        <v>0</v>
      </c>
      <c r="K53" s="186">
        <v>682615</v>
      </c>
      <c r="L53" s="186">
        <f t="shared" si="3"/>
        <v>682615</v>
      </c>
      <c r="M53" s="186">
        <f t="shared" si="6"/>
        <v>99.94363103953148</v>
      </c>
      <c r="N53" s="187"/>
    </row>
    <row r="54" spans="1:14" ht="19.5" customHeight="1">
      <c r="A54" s="183">
        <v>4600</v>
      </c>
      <c r="B54" s="183">
        <v>2212</v>
      </c>
      <c r="C54" s="183">
        <v>6121</v>
      </c>
      <c r="D54" s="183">
        <v>52</v>
      </c>
      <c r="E54" s="184" t="s">
        <v>755</v>
      </c>
      <c r="F54" s="201">
        <v>0</v>
      </c>
      <c r="G54" s="186">
        <v>108000</v>
      </c>
      <c r="H54" s="202"/>
      <c r="I54" s="186">
        <f t="shared" si="7"/>
        <v>108000</v>
      </c>
      <c r="J54" s="186">
        <v>0</v>
      </c>
      <c r="K54" s="186">
        <v>107695</v>
      </c>
      <c r="L54" s="186">
        <f t="shared" si="3"/>
        <v>107695</v>
      </c>
      <c r="M54" s="186">
        <f t="shared" si="6"/>
        <v>99.7175925925926</v>
      </c>
      <c r="N54" s="184"/>
    </row>
    <row r="55" spans="1:14" ht="19.5" customHeight="1">
      <c r="A55" s="183">
        <v>4601</v>
      </c>
      <c r="B55" s="183">
        <v>2212</v>
      </c>
      <c r="C55" s="183">
        <v>6121</v>
      </c>
      <c r="D55" s="183">
        <v>53</v>
      </c>
      <c r="E55" s="184" t="s">
        <v>756</v>
      </c>
      <c r="F55" s="201">
        <v>0</v>
      </c>
      <c r="G55" s="186">
        <v>88000</v>
      </c>
      <c r="H55" s="202"/>
      <c r="I55" s="186">
        <f t="shared" si="7"/>
        <v>88000</v>
      </c>
      <c r="J55" s="186">
        <v>0</v>
      </c>
      <c r="K55" s="186">
        <v>87381.7</v>
      </c>
      <c r="L55" s="186">
        <f t="shared" si="3"/>
        <v>87381.7</v>
      </c>
      <c r="M55" s="186">
        <f t="shared" si="6"/>
        <v>99.29738636363636</v>
      </c>
      <c r="N55" s="184"/>
    </row>
    <row r="56" spans="1:14" ht="19.5" customHeight="1">
      <c r="A56" s="183">
        <v>4508</v>
      </c>
      <c r="B56" s="183">
        <v>3632</v>
      </c>
      <c r="C56" s="183">
        <v>6121</v>
      </c>
      <c r="D56" s="183">
        <v>54</v>
      </c>
      <c r="E56" s="184" t="s">
        <v>757</v>
      </c>
      <c r="F56" s="185">
        <v>3660</v>
      </c>
      <c r="G56" s="186">
        <v>276500</v>
      </c>
      <c r="H56" s="186"/>
      <c r="I56" s="186">
        <f t="shared" si="7"/>
        <v>276500</v>
      </c>
      <c r="J56" s="186">
        <v>0</v>
      </c>
      <c r="K56" s="186">
        <v>157695</v>
      </c>
      <c r="L56" s="186">
        <f t="shared" si="3"/>
        <v>157695</v>
      </c>
      <c r="M56" s="186">
        <f t="shared" si="6"/>
        <v>57.03254972875226</v>
      </c>
      <c r="N56" s="184"/>
    </row>
    <row r="57" spans="1:14" ht="19.5" customHeight="1">
      <c r="A57" s="183">
        <v>959</v>
      </c>
      <c r="B57" s="183">
        <v>6171</v>
      </c>
      <c r="C57" s="183">
        <v>6121</v>
      </c>
      <c r="D57" s="183">
        <v>55</v>
      </c>
      <c r="E57" s="184" t="s">
        <v>758</v>
      </c>
      <c r="F57" s="185">
        <v>15850</v>
      </c>
      <c r="G57" s="186">
        <v>154000</v>
      </c>
      <c r="H57" s="186"/>
      <c r="I57" s="186">
        <f t="shared" si="7"/>
        <v>154000</v>
      </c>
      <c r="J57" s="186">
        <v>0</v>
      </c>
      <c r="K57" s="186">
        <v>153559</v>
      </c>
      <c r="L57" s="186">
        <f t="shared" si="3"/>
        <v>153559</v>
      </c>
      <c r="M57" s="186">
        <f t="shared" si="6"/>
        <v>99.71363636363635</v>
      </c>
      <c r="N57" s="184"/>
    </row>
    <row r="58" spans="1:14" ht="19.5" customHeight="1">
      <c r="A58" s="183">
        <v>4678</v>
      </c>
      <c r="B58" s="183">
        <v>6171</v>
      </c>
      <c r="C58" s="183">
        <v>6121</v>
      </c>
      <c r="D58" s="183">
        <v>56</v>
      </c>
      <c r="E58" s="184" t="s">
        <v>759</v>
      </c>
      <c r="F58" s="185">
        <v>0</v>
      </c>
      <c r="G58" s="186">
        <v>258000</v>
      </c>
      <c r="H58" s="186"/>
      <c r="I58" s="186">
        <f t="shared" si="7"/>
        <v>258000</v>
      </c>
      <c r="J58" s="186">
        <v>0</v>
      </c>
      <c r="K58" s="186">
        <v>254092</v>
      </c>
      <c r="L58" s="186">
        <f t="shared" si="3"/>
        <v>254092</v>
      </c>
      <c r="M58" s="186">
        <f t="shared" si="6"/>
        <v>98.48527131782946</v>
      </c>
      <c r="N58" s="184"/>
    </row>
    <row r="59" spans="1:14" s="200" customFormat="1" ht="20.25" customHeight="1">
      <c r="A59" s="196">
        <v>959</v>
      </c>
      <c r="B59" s="196">
        <v>6171</v>
      </c>
      <c r="C59" s="196">
        <v>6121</v>
      </c>
      <c r="D59" s="183">
        <v>57</v>
      </c>
      <c r="E59" s="197" t="s">
        <v>760</v>
      </c>
      <c r="F59" s="203">
        <v>140</v>
      </c>
      <c r="G59" s="190">
        <v>0</v>
      </c>
      <c r="H59" s="204"/>
      <c r="I59" s="190">
        <f t="shared" si="7"/>
        <v>0</v>
      </c>
      <c r="J59" s="190">
        <v>0</v>
      </c>
      <c r="K59" s="190">
        <v>0</v>
      </c>
      <c r="L59" s="190">
        <f t="shared" si="3"/>
        <v>0</v>
      </c>
      <c r="M59" s="190">
        <v>0</v>
      </c>
      <c r="N59" s="205" t="s">
        <v>723</v>
      </c>
    </row>
    <row r="60" spans="1:14" ht="19.5" customHeight="1">
      <c r="A60" s="183">
        <v>4630</v>
      </c>
      <c r="B60" s="183">
        <v>3631</v>
      </c>
      <c r="C60" s="183">
        <v>6121</v>
      </c>
      <c r="D60" s="183">
        <v>58</v>
      </c>
      <c r="E60" s="184" t="s">
        <v>761</v>
      </c>
      <c r="F60" s="185">
        <v>0</v>
      </c>
      <c r="G60" s="186">
        <v>585000</v>
      </c>
      <c r="H60" s="186"/>
      <c r="I60" s="186">
        <f t="shared" si="7"/>
        <v>585000</v>
      </c>
      <c r="J60" s="186">
        <v>0</v>
      </c>
      <c r="K60" s="186">
        <v>584863.4</v>
      </c>
      <c r="L60" s="186">
        <f t="shared" si="3"/>
        <v>584863.4</v>
      </c>
      <c r="M60" s="186">
        <f>L60/I60*100</f>
        <v>99.97664957264958</v>
      </c>
      <c r="N60" s="184"/>
    </row>
    <row r="61" spans="1:14" ht="19.5" customHeight="1">
      <c r="A61" s="183">
        <v>1020</v>
      </c>
      <c r="B61" s="183">
        <v>5512</v>
      </c>
      <c r="C61" s="183">
        <v>6121</v>
      </c>
      <c r="D61" s="183">
        <v>59</v>
      </c>
      <c r="E61" s="184" t="s">
        <v>762</v>
      </c>
      <c r="F61" s="185">
        <v>0</v>
      </c>
      <c r="G61" s="186">
        <v>1810000</v>
      </c>
      <c r="H61" s="186"/>
      <c r="I61" s="186">
        <f t="shared" si="7"/>
        <v>1810000</v>
      </c>
      <c r="J61" s="186">
        <v>0</v>
      </c>
      <c r="K61" s="186">
        <v>1809369</v>
      </c>
      <c r="L61" s="186">
        <f t="shared" si="3"/>
        <v>1809369</v>
      </c>
      <c r="M61" s="186">
        <f>L61/I61*100</f>
        <v>99.96513812154696</v>
      </c>
      <c r="N61" s="184"/>
    </row>
    <row r="62" spans="1:14" ht="19.5" customHeight="1">
      <c r="A62" s="183">
        <v>4255</v>
      </c>
      <c r="B62" s="183">
        <v>2219</v>
      </c>
      <c r="C62" s="183">
        <v>6121</v>
      </c>
      <c r="D62" s="183">
        <v>60</v>
      </c>
      <c r="E62" s="184" t="s">
        <v>763</v>
      </c>
      <c r="F62" s="185">
        <v>3000</v>
      </c>
      <c r="G62" s="186">
        <v>0</v>
      </c>
      <c r="H62" s="186"/>
      <c r="I62" s="186">
        <f t="shared" si="7"/>
        <v>0</v>
      </c>
      <c r="J62" s="186">
        <v>0</v>
      </c>
      <c r="K62" s="186">
        <v>0</v>
      </c>
      <c r="L62" s="186">
        <f t="shared" si="3"/>
        <v>0</v>
      </c>
      <c r="M62" s="186">
        <v>0</v>
      </c>
      <c r="N62" s="184"/>
    </row>
    <row r="63" spans="1:14" ht="19.5" customHeight="1">
      <c r="A63" s="183">
        <v>4516</v>
      </c>
      <c r="B63" s="183">
        <v>5512</v>
      </c>
      <c r="C63" s="183">
        <v>6121</v>
      </c>
      <c r="D63" s="183">
        <v>61</v>
      </c>
      <c r="E63" s="184" t="s">
        <v>764</v>
      </c>
      <c r="F63" s="185">
        <v>15</v>
      </c>
      <c r="G63" s="186">
        <v>15000</v>
      </c>
      <c r="H63" s="186"/>
      <c r="I63" s="186">
        <f t="shared" si="7"/>
        <v>15000</v>
      </c>
      <c r="J63" s="186">
        <v>0</v>
      </c>
      <c r="K63" s="186">
        <v>0</v>
      </c>
      <c r="L63" s="186">
        <f aca="true" t="shared" si="8" ref="L63:L94">J63+K63</f>
        <v>0</v>
      </c>
      <c r="M63" s="186">
        <f aca="true" t="shared" si="9" ref="M63:M75">L63/I63*100</f>
        <v>0</v>
      </c>
      <c r="N63" s="184"/>
    </row>
    <row r="64" spans="1:14" ht="19.5" customHeight="1">
      <c r="A64" s="183">
        <v>4369</v>
      </c>
      <c r="B64" s="183">
        <v>2219</v>
      </c>
      <c r="C64" s="183">
        <v>6121</v>
      </c>
      <c r="D64" s="183">
        <v>62</v>
      </c>
      <c r="E64" s="184" t="s">
        <v>765</v>
      </c>
      <c r="F64" s="185">
        <v>0</v>
      </c>
      <c r="G64" s="186">
        <v>14000</v>
      </c>
      <c r="H64" s="186"/>
      <c r="I64" s="186">
        <f t="shared" si="7"/>
        <v>14000</v>
      </c>
      <c r="J64" s="186">
        <v>0</v>
      </c>
      <c r="K64" s="186">
        <v>13566</v>
      </c>
      <c r="L64" s="186">
        <f t="shared" si="8"/>
        <v>13566</v>
      </c>
      <c r="M64" s="186">
        <f t="shared" si="9"/>
        <v>96.89999999999999</v>
      </c>
      <c r="N64" s="184"/>
    </row>
    <row r="65" spans="1:14" ht="19.5" customHeight="1">
      <c r="A65" s="183">
        <v>4310</v>
      </c>
      <c r="B65" s="183">
        <v>2219</v>
      </c>
      <c r="C65" s="183">
        <v>6121</v>
      </c>
      <c r="D65" s="183">
        <v>63</v>
      </c>
      <c r="E65" s="184" t="s">
        <v>766</v>
      </c>
      <c r="F65" s="185">
        <v>2000</v>
      </c>
      <c r="G65" s="186">
        <v>197000</v>
      </c>
      <c r="H65" s="186"/>
      <c r="I65" s="186">
        <f t="shared" si="7"/>
        <v>197000</v>
      </c>
      <c r="J65" s="186">
        <v>0</v>
      </c>
      <c r="K65" s="186">
        <v>163294.6</v>
      </c>
      <c r="L65" s="186">
        <f t="shared" si="8"/>
        <v>163294.6</v>
      </c>
      <c r="M65" s="186">
        <f t="shared" si="9"/>
        <v>82.89065989847715</v>
      </c>
      <c r="N65" s="184"/>
    </row>
    <row r="66" spans="1:14" ht="19.5" customHeight="1">
      <c r="A66" s="183">
        <v>4310</v>
      </c>
      <c r="B66" s="183">
        <v>2219</v>
      </c>
      <c r="C66" s="183">
        <v>6121</v>
      </c>
      <c r="D66" s="183">
        <v>64</v>
      </c>
      <c r="E66" s="184" t="s">
        <v>766</v>
      </c>
      <c r="F66" s="185">
        <v>0</v>
      </c>
      <c r="G66" s="186">
        <v>0</v>
      </c>
      <c r="H66" s="186">
        <v>313700.8</v>
      </c>
      <c r="I66" s="186">
        <f t="shared" si="7"/>
        <v>313700.8</v>
      </c>
      <c r="J66" s="186">
        <v>0</v>
      </c>
      <c r="K66" s="186">
        <v>313700.8</v>
      </c>
      <c r="L66" s="186">
        <f t="shared" si="8"/>
        <v>313700.8</v>
      </c>
      <c r="M66" s="186">
        <f t="shared" si="9"/>
        <v>100</v>
      </c>
      <c r="N66" s="206" t="s">
        <v>1097</v>
      </c>
    </row>
    <row r="67" spans="1:14" ht="19.5" customHeight="1">
      <c r="A67" s="183">
        <v>905</v>
      </c>
      <c r="B67" s="183">
        <v>2310</v>
      </c>
      <c r="C67" s="183">
        <v>6121</v>
      </c>
      <c r="D67" s="183">
        <v>65</v>
      </c>
      <c r="E67" s="184" t="s">
        <v>767</v>
      </c>
      <c r="F67" s="185">
        <v>0</v>
      </c>
      <c r="G67" s="186">
        <v>108000</v>
      </c>
      <c r="H67" s="186"/>
      <c r="I67" s="186">
        <f t="shared" si="7"/>
        <v>108000</v>
      </c>
      <c r="J67" s="186">
        <v>0</v>
      </c>
      <c r="K67" s="186">
        <v>104740</v>
      </c>
      <c r="L67" s="186">
        <f t="shared" si="8"/>
        <v>104740</v>
      </c>
      <c r="M67" s="186">
        <f t="shared" si="9"/>
        <v>96.98148148148148</v>
      </c>
      <c r="N67" s="184"/>
    </row>
    <row r="68" spans="1:14" ht="19.5" customHeight="1">
      <c r="A68" s="183">
        <v>4390</v>
      </c>
      <c r="B68" s="183">
        <v>6171</v>
      </c>
      <c r="C68" s="183">
        <v>6121</v>
      </c>
      <c r="D68" s="183">
        <v>66</v>
      </c>
      <c r="E68" s="184" t="s">
        <v>768</v>
      </c>
      <c r="F68" s="185">
        <v>2810</v>
      </c>
      <c r="G68" s="186">
        <v>360000</v>
      </c>
      <c r="H68" s="186"/>
      <c r="I68" s="186">
        <f t="shared" si="7"/>
        <v>360000</v>
      </c>
      <c r="J68" s="186">
        <v>0</v>
      </c>
      <c r="K68" s="186">
        <v>359380</v>
      </c>
      <c r="L68" s="186">
        <f t="shared" si="8"/>
        <v>359380</v>
      </c>
      <c r="M68" s="186">
        <f t="shared" si="9"/>
        <v>99.82777777777778</v>
      </c>
      <c r="N68" s="184"/>
    </row>
    <row r="69" spans="1:14" ht="19.5" customHeight="1">
      <c r="A69" s="183">
        <v>4194</v>
      </c>
      <c r="B69" s="183">
        <v>2219</v>
      </c>
      <c r="C69" s="183">
        <v>6121</v>
      </c>
      <c r="D69" s="183">
        <v>67</v>
      </c>
      <c r="E69" s="184" t="s">
        <v>769</v>
      </c>
      <c r="F69" s="185">
        <v>5200</v>
      </c>
      <c r="G69" s="186">
        <v>1760000</v>
      </c>
      <c r="H69" s="186"/>
      <c r="I69" s="186">
        <f t="shared" si="7"/>
        <v>1760000</v>
      </c>
      <c r="J69" s="186">
        <v>0</v>
      </c>
      <c r="K69" s="186">
        <v>1756299</v>
      </c>
      <c r="L69" s="186">
        <f t="shared" si="8"/>
        <v>1756299</v>
      </c>
      <c r="M69" s="186">
        <f t="shared" si="9"/>
        <v>99.7897159090909</v>
      </c>
      <c r="N69" s="184"/>
    </row>
    <row r="70" spans="1:14" ht="19.5" customHeight="1">
      <c r="A70" s="183">
        <v>4623</v>
      </c>
      <c r="B70" s="183">
        <v>2219</v>
      </c>
      <c r="C70" s="183">
        <v>6121</v>
      </c>
      <c r="D70" s="183">
        <v>68</v>
      </c>
      <c r="E70" s="184" t="s">
        <v>770</v>
      </c>
      <c r="F70" s="185">
        <v>0</v>
      </c>
      <c r="G70" s="186">
        <v>60000</v>
      </c>
      <c r="H70" s="186"/>
      <c r="I70" s="186">
        <f t="shared" si="7"/>
        <v>60000</v>
      </c>
      <c r="J70" s="186">
        <v>0</v>
      </c>
      <c r="K70" s="186">
        <v>48980.4</v>
      </c>
      <c r="L70" s="186">
        <f t="shared" si="8"/>
        <v>48980.4</v>
      </c>
      <c r="M70" s="186">
        <f t="shared" si="9"/>
        <v>81.634</v>
      </c>
      <c r="N70" s="184"/>
    </row>
    <row r="71" spans="1:14" ht="19.5" customHeight="1">
      <c r="A71" s="183">
        <v>4437</v>
      </c>
      <c r="B71" s="183">
        <v>2219</v>
      </c>
      <c r="C71" s="183">
        <v>6121</v>
      </c>
      <c r="D71" s="183">
        <v>69</v>
      </c>
      <c r="E71" s="184" t="s">
        <v>771</v>
      </c>
      <c r="F71" s="185">
        <v>0</v>
      </c>
      <c r="G71" s="186">
        <v>997000</v>
      </c>
      <c r="H71" s="186"/>
      <c r="I71" s="186">
        <f t="shared" si="7"/>
        <v>997000</v>
      </c>
      <c r="J71" s="186">
        <v>0</v>
      </c>
      <c r="K71" s="186">
        <v>987495.91</v>
      </c>
      <c r="L71" s="186">
        <f t="shared" si="8"/>
        <v>987495.91</v>
      </c>
      <c r="M71" s="186">
        <f t="shared" si="9"/>
        <v>99.04673119358075</v>
      </c>
      <c r="N71" s="184"/>
    </row>
    <row r="72" spans="1:14" ht="19.5" customHeight="1">
      <c r="A72" s="183">
        <v>4394</v>
      </c>
      <c r="B72" s="183">
        <v>2212</v>
      </c>
      <c r="C72" s="183">
        <v>6121</v>
      </c>
      <c r="D72" s="183">
        <v>70</v>
      </c>
      <c r="E72" s="184" t="s">
        <v>772</v>
      </c>
      <c r="F72" s="185">
        <v>80</v>
      </c>
      <c r="G72" s="186">
        <v>80000</v>
      </c>
      <c r="H72" s="186"/>
      <c r="I72" s="186">
        <f t="shared" si="7"/>
        <v>80000</v>
      </c>
      <c r="J72" s="186">
        <v>0</v>
      </c>
      <c r="K72" s="186">
        <v>74521</v>
      </c>
      <c r="L72" s="186">
        <f t="shared" si="8"/>
        <v>74521</v>
      </c>
      <c r="M72" s="186">
        <f t="shared" si="9"/>
        <v>93.15124999999999</v>
      </c>
      <c r="N72" s="184"/>
    </row>
    <row r="73" spans="1:14" ht="19.5" customHeight="1">
      <c r="A73" s="183">
        <v>4389</v>
      </c>
      <c r="B73" s="183">
        <v>2321</v>
      </c>
      <c r="C73" s="183">
        <v>6121</v>
      </c>
      <c r="D73" s="183">
        <v>71</v>
      </c>
      <c r="E73" s="184" t="s">
        <v>773</v>
      </c>
      <c r="F73" s="185">
        <v>590</v>
      </c>
      <c r="G73" s="186">
        <v>590000</v>
      </c>
      <c r="H73" s="186"/>
      <c r="I73" s="186">
        <f t="shared" si="7"/>
        <v>590000</v>
      </c>
      <c r="J73" s="186">
        <v>93480</v>
      </c>
      <c r="K73" s="186">
        <v>492000</v>
      </c>
      <c r="L73" s="186">
        <f t="shared" si="8"/>
        <v>585480</v>
      </c>
      <c r="M73" s="186">
        <f t="shared" si="9"/>
        <v>99.23389830508475</v>
      </c>
      <c r="N73" s="184"/>
    </row>
    <row r="74" spans="1:14" s="188" customFormat="1" ht="19.5" customHeight="1">
      <c r="A74" s="183">
        <v>975</v>
      </c>
      <c r="B74" s="183">
        <v>2321</v>
      </c>
      <c r="C74" s="183">
        <v>6121</v>
      </c>
      <c r="D74" s="183">
        <v>72</v>
      </c>
      <c r="E74" s="207" t="s">
        <v>774</v>
      </c>
      <c r="F74" s="189">
        <v>2446</v>
      </c>
      <c r="G74" s="186">
        <v>2446000</v>
      </c>
      <c r="H74" s="190"/>
      <c r="I74" s="186">
        <f t="shared" si="7"/>
        <v>2446000</v>
      </c>
      <c r="J74" s="186">
        <v>0</v>
      </c>
      <c r="K74" s="186">
        <v>2445037.4</v>
      </c>
      <c r="L74" s="186">
        <f t="shared" si="8"/>
        <v>2445037.4</v>
      </c>
      <c r="M74" s="186">
        <f t="shared" si="9"/>
        <v>99.96064595257563</v>
      </c>
      <c r="N74" s="187"/>
    </row>
    <row r="75" spans="1:14" ht="19.5" customHeight="1">
      <c r="A75" s="183">
        <v>4520</v>
      </c>
      <c r="B75" s="183">
        <v>3635</v>
      </c>
      <c r="C75" s="183">
        <v>6121</v>
      </c>
      <c r="D75" s="183">
        <v>73</v>
      </c>
      <c r="E75" s="184" t="s">
        <v>775</v>
      </c>
      <c r="F75" s="185">
        <v>2800</v>
      </c>
      <c r="G75" s="186">
        <v>580000</v>
      </c>
      <c r="H75" s="186"/>
      <c r="I75" s="186">
        <f t="shared" si="7"/>
        <v>580000</v>
      </c>
      <c r="J75" s="186">
        <v>0</v>
      </c>
      <c r="K75" s="186">
        <v>576442</v>
      </c>
      <c r="L75" s="186">
        <f t="shared" si="8"/>
        <v>576442</v>
      </c>
      <c r="M75" s="186">
        <f t="shared" si="9"/>
        <v>99.38655172413793</v>
      </c>
      <c r="N75" s="184"/>
    </row>
    <row r="76" spans="1:14" ht="19.5" customHeight="1">
      <c r="A76" s="183">
        <v>4687</v>
      </c>
      <c r="B76" s="183">
        <v>2321</v>
      </c>
      <c r="C76" s="183">
        <v>6121</v>
      </c>
      <c r="D76" s="183">
        <v>74</v>
      </c>
      <c r="E76" s="184" t="s">
        <v>776</v>
      </c>
      <c r="F76" s="185">
        <v>0</v>
      </c>
      <c r="G76" s="186">
        <v>100000</v>
      </c>
      <c r="H76" s="186"/>
      <c r="I76" s="186">
        <f t="shared" si="7"/>
        <v>100000</v>
      </c>
      <c r="J76" s="186">
        <v>0</v>
      </c>
      <c r="K76" s="186">
        <v>0</v>
      </c>
      <c r="L76" s="186">
        <f t="shared" si="8"/>
        <v>0</v>
      </c>
      <c r="M76" s="186">
        <v>0</v>
      </c>
      <c r="N76" s="184"/>
    </row>
    <row r="77" spans="1:14" ht="19.5" customHeight="1">
      <c r="A77" s="183">
        <v>4650</v>
      </c>
      <c r="B77" s="183">
        <v>2219</v>
      </c>
      <c r="C77" s="183">
        <v>6121</v>
      </c>
      <c r="D77" s="183">
        <v>75</v>
      </c>
      <c r="E77" s="184" t="s">
        <v>777</v>
      </c>
      <c r="F77" s="185">
        <v>0</v>
      </c>
      <c r="G77" s="186">
        <v>2612000</v>
      </c>
      <c r="H77" s="186"/>
      <c r="I77" s="186">
        <f t="shared" si="7"/>
        <v>2612000</v>
      </c>
      <c r="J77" s="186">
        <v>0</v>
      </c>
      <c r="K77" s="186">
        <v>1886600</v>
      </c>
      <c r="L77" s="186">
        <f t="shared" si="8"/>
        <v>1886600</v>
      </c>
      <c r="M77" s="186">
        <f aca="true" t="shared" si="10" ref="M77:M85">L77/I77*100</f>
        <v>72.2281776416539</v>
      </c>
      <c r="N77" s="184"/>
    </row>
    <row r="78" spans="1:14" ht="19.5" customHeight="1">
      <c r="A78" s="183">
        <v>4485</v>
      </c>
      <c r="B78" s="183">
        <v>3314</v>
      </c>
      <c r="C78" s="183">
        <v>6121</v>
      </c>
      <c r="D78" s="183">
        <v>76</v>
      </c>
      <c r="E78" s="184" t="s">
        <v>778</v>
      </c>
      <c r="F78" s="185">
        <v>1207</v>
      </c>
      <c r="G78" s="186">
        <v>1207000</v>
      </c>
      <c r="H78" s="186"/>
      <c r="I78" s="186">
        <f t="shared" si="7"/>
        <v>1207000</v>
      </c>
      <c r="J78" s="186">
        <v>0</v>
      </c>
      <c r="K78" s="186">
        <v>1206379</v>
      </c>
      <c r="L78" s="186">
        <f t="shared" si="8"/>
        <v>1206379</v>
      </c>
      <c r="M78" s="186">
        <f t="shared" si="10"/>
        <v>99.94855012427506</v>
      </c>
      <c r="N78" s="184"/>
    </row>
    <row r="79" spans="1:14" ht="19.5" customHeight="1">
      <c r="A79" s="183">
        <v>4610</v>
      </c>
      <c r="B79" s="183">
        <v>2219</v>
      </c>
      <c r="C79" s="183">
        <v>6121</v>
      </c>
      <c r="D79" s="183">
        <v>77</v>
      </c>
      <c r="E79" s="184" t="s">
        <v>779</v>
      </c>
      <c r="F79" s="185">
        <v>0</v>
      </c>
      <c r="G79" s="186">
        <v>50000</v>
      </c>
      <c r="H79" s="186"/>
      <c r="I79" s="186">
        <f t="shared" si="7"/>
        <v>50000</v>
      </c>
      <c r="J79" s="186">
        <v>0</v>
      </c>
      <c r="K79" s="186">
        <v>49147</v>
      </c>
      <c r="L79" s="186">
        <f t="shared" si="8"/>
        <v>49147</v>
      </c>
      <c r="M79" s="186">
        <f t="shared" si="10"/>
        <v>98.294</v>
      </c>
      <c r="N79" s="184"/>
    </row>
    <row r="80" spans="1:14" ht="19.5" customHeight="1">
      <c r="A80" s="183">
        <v>4532</v>
      </c>
      <c r="B80" s="183">
        <v>2219</v>
      </c>
      <c r="C80" s="183">
        <v>6121</v>
      </c>
      <c r="D80" s="183">
        <v>78</v>
      </c>
      <c r="E80" s="184" t="s">
        <v>780</v>
      </c>
      <c r="F80" s="185">
        <v>650</v>
      </c>
      <c r="G80" s="186">
        <v>650000</v>
      </c>
      <c r="H80" s="186"/>
      <c r="I80" s="186">
        <f t="shared" si="7"/>
        <v>650000</v>
      </c>
      <c r="J80" s="186">
        <v>0</v>
      </c>
      <c r="K80" s="186">
        <v>0</v>
      </c>
      <c r="L80" s="186">
        <f t="shared" si="8"/>
        <v>0</v>
      </c>
      <c r="M80" s="186">
        <f t="shared" si="10"/>
        <v>0</v>
      </c>
      <c r="N80" s="184"/>
    </row>
    <row r="81" spans="1:14" ht="19.5" customHeight="1">
      <c r="A81" s="183">
        <v>936</v>
      </c>
      <c r="B81" s="183">
        <v>2219</v>
      </c>
      <c r="C81" s="183">
        <v>6121</v>
      </c>
      <c r="D81" s="183">
        <v>79</v>
      </c>
      <c r="E81" s="184" t="s">
        <v>781</v>
      </c>
      <c r="F81" s="185">
        <v>10500</v>
      </c>
      <c r="G81" s="186">
        <v>6788096</v>
      </c>
      <c r="H81" s="186"/>
      <c r="I81" s="186">
        <f t="shared" si="7"/>
        <v>6788096</v>
      </c>
      <c r="J81" s="186">
        <v>0</v>
      </c>
      <c r="K81" s="186">
        <v>6107134.45</v>
      </c>
      <c r="L81" s="186">
        <f t="shared" si="8"/>
        <v>6107134.45</v>
      </c>
      <c r="M81" s="186">
        <f t="shared" si="10"/>
        <v>89.96829817963683</v>
      </c>
      <c r="N81" s="191" t="s">
        <v>750</v>
      </c>
    </row>
    <row r="82" spans="1:14" ht="19.5" customHeight="1">
      <c r="A82" s="183">
        <v>9361</v>
      </c>
      <c r="B82" s="183">
        <v>2219</v>
      </c>
      <c r="C82" s="183">
        <v>6121</v>
      </c>
      <c r="D82" s="183">
        <v>80</v>
      </c>
      <c r="E82" s="184" t="s">
        <v>781</v>
      </c>
      <c r="F82" s="185">
        <v>0</v>
      </c>
      <c r="G82" s="186">
        <v>8200112.81</v>
      </c>
      <c r="H82" s="186">
        <v>-1295.81</v>
      </c>
      <c r="I82" s="186">
        <f aca="true" t="shared" si="11" ref="I82:I113">G82+H82</f>
        <v>8198817</v>
      </c>
      <c r="J82" s="186">
        <v>0</v>
      </c>
      <c r="K82" s="186">
        <v>8198817</v>
      </c>
      <c r="L82" s="186">
        <f t="shared" si="8"/>
        <v>8198817</v>
      </c>
      <c r="M82" s="186">
        <f t="shared" si="10"/>
        <v>100</v>
      </c>
      <c r="N82" s="191" t="s">
        <v>782</v>
      </c>
    </row>
    <row r="83" spans="1:14" ht="19.5" customHeight="1">
      <c r="A83" s="183">
        <v>9361</v>
      </c>
      <c r="B83" s="183">
        <v>2219</v>
      </c>
      <c r="C83" s="183">
        <v>5163</v>
      </c>
      <c r="D83" s="183">
        <v>81</v>
      </c>
      <c r="E83" s="184" t="s">
        <v>781</v>
      </c>
      <c r="F83" s="185">
        <v>0</v>
      </c>
      <c r="G83" s="186">
        <v>0</v>
      </c>
      <c r="H83" s="186">
        <v>1295.81</v>
      </c>
      <c r="I83" s="186">
        <f t="shared" si="11"/>
        <v>1295.81</v>
      </c>
      <c r="J83" s="186">
        <v>0</v>
      </c>
      <c r="K83" s="186">
        <v>1295.81</v>
      </c>
      <c r="L83" s="186">
        <f t="shared" si="8"/>
        <v>1295.81</v>
      </c>
      <c r="M83" s="186">
        <f t="shared" si="10"/>
        <v>100</v>
      </c>
      <c r="N83" s="191" t="s">
        <v>782</v>
      </c>
    </row>
    <row r="84" spans="1:14" ht="19.5" customHeight="1">
      <c r="A84" s="183">
        <v>9362</v>
      </c>
      <c r="B84" s="183">
        <v>2219</v>
      </c>
      <c r="C84" s="183">
        <v>6121</v>
      </c>
      <c r="D84" s="183">
        <v>82</v>
      </c>
      <c r="E84" s="184" t="s">
        <v>781</v>
      </c>
      <c r="F84" s="185">
        <v>0</v>
      </c>
      <c r="G84" s="186">
        <v>6097718.05</v>
      </c>
      <c r="H84" s="186">
        <v>-1295.81</v>
      </c>
      <c r="I84" s="186">
        <f t="shared" si="11"/>
        <v>6096422.24</v>
      </c>
      <c r="J84" s="186">
        <v>0</v>
      </c>
      <c r="K84" s="186">
        <v>6096422.24</v>
      </c>
      <c r="L84" s="186">
        <f t="shared" si="8"/>
        <v>6096422.24</v>
      </c>
      <c r="M84" s="186">
        <f t="shared" si="10"/>
        <v>100</v>
      </c>
      <c r="N84" s="191" t="s">
        <v>783</v>
      </c>
    </row>
    <row r="85" spans="1:14" ht="19.5" customHeight="1">
      <c r="A85" s="183">
        <v>9362</v>
      </c>
      <c r="B85" s="183">
        <v>2219</v>
      </c>
      <c r="C85" s="183">
        <v>5163</v>
      </c>
      <c r="D85" s="183">
        <v>83</v>
      </c>
      <c r="E85" s="184" t="s">
        <v>781</v>
      </c>
      <c r="F85" s="185">
        <v>0</v>
      </c>
      <c r="G85" s="186">
        <v>0</v>
      </c>
      <c r="H85" s="186">
        <v>1295.81</v>
      </c>
      <c r="I85" s="186">
        <f t="shared" si="11"/>
        <v>1295.81</v>
      </c>
      <c r="J85" s="186">
        <v>0</v>
      </c>
      <c r="K85" s="186">
        <v>1295.81</v>
      </c>
      <c r="L85" s="186">
        <f t="shared" si="8"/>
        <v>1295.81</v>
      </c>
      <c r="M85" s="186">
        <f t="shared" si="10"/>
        <v>100</v>
      </c>
      <c r="N85" s="191" t="s">
        <v>783</v>
      </c>
    </row>
    <row r="86" spans="1:14" ht="19.5" customHeight="1">
      <c r="A86" s="183">
        <v>4525</v>
      </c>
      <c r="B86" s="183">
        <v>3429</v>
      </c>
      <c r="C86" s="183">
        <v>6121</v>
      </c>
      <c r="D86" s="183">
        <v>84</v>
      </c>
      <c r="E86" s="184" t="s">
        <v>784</v>
      </c>
      <c r="F86" s="185">
        <v>250</v>
      </c>
      <c r="G86" s="186">
        <v>0</v>
      </c>
      <c r="H86" s="186"/>
      <c r="I86" s="186">
        <f t="shared" si="11"/>
        <v>0</v>
      </c>
      <c r="J86" s="186">
        <v>0</v>
      </c>
      <c r="K86" s="186">
        <v>0</v>
      </c>
      <c r="L86" s="186">
        <f t="shared" si="8"/>
        <v>0</v>
      </c>
      <c r="M86" s="186">
        <v>0</v>
      </c>
      <c r="N86" s="184"/>
    </row>
    <row r="87" spans="1:14" ht="19.5" customHeight="1">
      <c r="A87" s="183">
        <v>4594</v>
      </c>
      <c r="B87" s="183">
        <v>3631</v>
      </c>
      <c r="C87" s="183">
        <v>6121</v>
      </c>
      <c r="D87" s="183">
        <v>85</v>
      </c>
      <c r="E87" s="184" t="s">
        <v>785</v>
      </c>
      <c r="F87" s="185">
        <v>0</v>
      </c>
      <c r="G87" s="186">
        <v>23000</v>
      </c>
      <c r="H87" s="186"/>
      <c r="I87" s="186">
        <f t="shared" si="11"/>
        <v>23000</v>
      </c>
      <c r="J87" s="186">
        <v>0</v>
      </c>
      <c r="K87" s="186">
        <v>22240</v>
      </c>
      <c r="L87" s="186">
        <f t="shared" si="8"/>
        <v>22240</v>
      </c>
      <c r="M87" s="186">
        <f aca="true" t="shared" si="12" ref="M87:M118">L87/I87*100</f>
        <v>96.69565217391303</v>
      </c>
      <c r="N87" s="184"/>
    </row>
    <row r="88" spans="1:14" ht="19.5" customHeight="1">
      <c r="A88" s="183">
        <v>863</v>
      </c>
      <c r="B88" s="183">
        <v>2219</v>
      </c>
      <c r="C88" s="183">
        <v>6121</v>
      </c>
      <c r="D88" s="183">
        <v>86</v>
      </c>
      <c r="E88" s="184" t="s">
        <v>786</v>
      </c>
      <c r="F88" s="189">
        <v>3000</v>
      </c>
      <c r="G88" s="186">
        <v>501000</v>
      </c>
      <c r="H88" s="190"/>
      <c r="I88" s="186">
        <f t="shared" si="11"/>
        <v>501000</v>
      </c>
      <c r="J88" s="186">
        <v>0</v>
      </c>
      <c r="K88" s="186">
        <v>0</v>
      </c>
      <c r="L88" s="186">
        <f t="shared" si="8"/>
        <v>0</v>
      </c>
      <c r="M88" s="186">
        <f t="shared" si="12"/>
        <v>0</v>
      </c>
      <c r="N88" s="184"/>
    </row>
    <row r="89" spans="1:14" ht="19.5" customHeight="1">
      <c r="A89" s="183">
        <v>1045</v>
      </c>
      <c r="B89" s="183">
        <v>2212</v>
      </c>
      <c r="C89" s="183">
        <v>6121</v>
      </c>
      <c r="D89" s="183">
        <v>87</v>
      </c>
      <c r="E89" s="184" t="s">
        <v>787</v>
      </c>
      <c r="F89" s="189">
        <v>0</v>
      </c>
      <c r="G89" s="186">
        <v>20000</v>
      </c>
      <c r="H89" s="190"/>
      <c r="I89" s="186">
        <f t="shared" si="11"/>
        <v>20000</v>
      </c>
      <c r="J89" s="186">
        <v>0</v>
      </c>
      <c r="K89" s="186">
        <v>19754</v>
      </c>
      <c r="L89" s="186">
        <f t="shared" si="8"/>
        <v>19754</v>
      </c>
      <c r="M89" s="186">
        <f t="shared" si="12"/>
        <v>98.77</v>
      </c>
      <c r="N89" s="184"/>
    </row>
    <row r="90" spans="1:14" ht="19.5" customHeight="1">
      <c r="A90" s="183">
        <v>4260</v>
      </c>
      <c r="B90" s="183">
        <v>3311</v>
      </c>
      <c r="C90" s="183">
        <v>6121</v>
      </c>
      <c r="D90" s="183">
        <v>88</v>
      </c>
      <c r="E90" s="184" t="s">
        <v>788</v>
      </c>
      <c r="F90" s="185">
        <v>64000</v>
      </c>
      <c r="G90" s="186">
        <v>51620000</v>
      </c>
      <c r="H90" s="186"/>
      <c r="I90" s="186">
        <f t="shared" si="11"/>
        <v>51620000</v>
      </c>
      <c r="J90" s="186">
        <v>0</v>
      </c>
      <c r="K90" s="186">
        <v>50324387.3</v>
      </c>
      <c r="L90" s="186">
        <f t="shared" si="8"/>
        <v>50324387.3</v>
      </c>
      <c r="M90" s="186">
        <f t="shared" si="12"/>
        <v>97.49009550561797</v>
      </c>
      <c r="N90" s="184"/>
    </row>
    <row r="91" spans="1:14" ht="19.5" customHeight="1">
      <c r="A91" s="183">
        <v>4260</v>
      </c>
      <c r="B91" s="183">
        <v>3311</v>
      </c>
      <c r="C91" s="183">
        <v>6121</v>
      </c>
      <c r="D91" s="183">
        <v>89</v>
      </c>
      <c r="E91" s="184" t="s">
        <v>788</v>
      </c>
      <c r="F91" s="185">
        <v>0</v>
      </c>
      <c r="G91" s="186">
        <v>20000000</v>
      </c>
      <c r="H91" s="186">
        <v>-158420.6</v>
      </c>
      <c r="I91" s="186">
        <f t="shared" si="11"/>
        <v>19841579.4</v>
      </c>
      <c r="J91" s="186">
        <v>0</v>
      </c>
      <c r="K91" s="186">
        <v>19841579.4</v>
      </c>
      <c r="L91" s="186">
        <f t="shared" si="8"/>
        <v>19841579.4</v>
      </c>
      <c r="M91" s="186">
        <f t="shared" si="12"/>
        <v>100</v>
      </c>
      <c r="N91" s="191" t="s">
        <v>738</v>
      </c>
    </row>
    <row r="92" spans="1:14" s="188" customFormat="1" ht="19.5" customHeight="1">
      <c r="A92" s="183">
        <v>4454</v>
      </c>
      <c r="B92" s="183">
        <v>3311</v>
      </c>
      <c r="C92" s="183">
        <v>6121</v>
      </c>
      <c r="D92" s="183">
        <v>90</v>
      </c>
      <c r="E92" s="184" t="s">
        <v>789</v>
      </c>
      <c r="F92" s="185">
        <v>70</v>
      </c>
      <c r="G92" s="186">
        <v>20000000</v>
      </c>
      <c r="H92" s="186"/>
      <c r="I92" s="186">
        <f t="shared" si="11"/>
        <v>20000000</v>
      </c>
      <c r="J92" s="186">
        <v>0</v>
      </c>
      <c r="K92" s="186">
        <v>19921913.7</v>
      </c>
      <c r="L92" s="186">
        <f t="shared" si="8"/>
        <v>19921913.7</v>
      </c>
      <c r="M92" s="186">
        <f t="shared" si="12"/>
        <v>99.6095685</v>
      </c>
      <c r="N92" s="187"/>
    </row>
    <row r="93" spans="1:14" s="188" customFormat="1" ht="19.5" customHeight="1">
      <c r="A93" s="183">
        <v>4454</v>
      </c>
      <c r="B93" s="183">
        <v>3311</v>
      </c>
      <c r="C93" s="183">
        <v>6121</v>
      </c>
      <c r="D93" s="183">
        <v>91</v>
      </c>
      <c r="E93" s="184" t="s">
        <v>789</v>
      </c>
      <c r="F93" s="185">
        <v>0</v>
      </c>
      <c r="G93" s="186">
        <v>20000000</v>
      </c>
      <c r="H93" s="186"/>
      <c r="I93" s="186">
        <f t="shared" si="11"/>
        <v>20000000</v>
      </c>
      <c r="J93" s="186">
        <v>0</v>
      </c>
      <c r="K93" s="186">
        <v>20000000</v>
      </c>
      <c r="L93" s="186">
        <f t="shared" si="8"/>
        <v>20000000</v>
      </c>
      <c r="M93" s="186">
        <f t="shared" si="12"/>
        <v>100</v>
      </c>
      <c r="N93" s="208" t="s">
        <v>738</v>
      </c>
    </row>
    <row r="94" spans="1:14" ht="19.5" customHeight="1">
      <c r="A94" s="183">
        <v>568</v>
      </c>
      <c r="B94" s="183">
        <v>2212</v>
      </c>
      <c r="C94" s="183">
        <v>6121</v>
      </c>
      <c r="D94" s="183">
        <v>92</v>
      </c>
      <c r="E94" s="184" t="s">
        <v>790</v>
      </c>
      <c r="F94" s="201">
        <v>3000</v>
      </c>
      <c r="G94" s="186">
        <v>800</v>
      </c>
      <c r="H94" s="202"/>
      <c r="I94" s="186">
        <f t="shared" si="11"/>
        <v>800</v>
      </c>
      <c r="J94" s="186">
        <v>0</v>
      </c>
      <c r="K94" s="186">
        <v>0</v>
      </c>
      <c r="L94" s="186">
        <f t="shared" si="8"/>
        <v>0</v>
      </c>
      <c r="M94" s="186">
        <f t="shared" si="12"/>
        <v>0</v>
      </c>
      <c r="N94" s="184"/>
    </row>
    <row r="95" spans="1:14" ht="19.5" customHeight="1">
      <c r="A95" s="183">
        <v>4615</v>
      </c>
      <c r="B95" s="183">
        <v>2219</v>
      </c>
      <c r="C95" s="183">
        <v>6121</v>
      </c>
      <c r="D95" s="183">
        <v>93</v>
      </c>
      <c r="E95" s="184" t="s">
        <v>791</v>
      </c>
      <c r="F95" s="201">
        <v>0</v>
      </c>
      <c r="G95" s="186">
        <v>296000</v>
      </c>
      <c r="H95" s="202"/>
      <c r="I95" s="186">
        <f t="shared" si="11"/>
        <v>296000</v>
      </c>
      <c r="J95" s="186">
        <v>0</v>
      </c>
      <c r="K95" s="186">
        <v>295298.5</v>
      </c>
      <c r="L95" s="186">
        <f aca="true" t="shared" si="13" ref="L95:L126">J95+K95</f>
        <v>295298.5</v>
      </c>
      <c r="M95" s="186">
        <f t="shared" si="12"/>
        <v>99.76300675675675</v>
      </c>
      <c r="N95" s="184"/>
    </row>
    <row r="96" spans="1:14" ht="19.5" customHeight="1">
      <c r="A96" s="183">
        <v>4615</v>
      </c>
      <c r="B96" s="183">
        <v>2219</v>
      </c>
      <c r="C96" s="183">
        <v>6121</v>
      </c>
      <c r="D96" s="183">
        <v>94</v>
      </c>
      <c r="E96" s="184" t="s">
        <v>791</v>
      </c>
      <c r="F96" s="201">
        <v>0</v>
      </c>
      <c r="G96" s="186">
        <v>300000</v>
      </c>
      <c r="H96" s="202"/>
      <c r="I96" s="186">
        <f t="shared" si="11"/>
        <v>300000</v>
      </c>
      <c r="J96" s="186">
        <v>0</v>
      </c>
      <c r="K96" s="186">
        <v>299820</v>
      </c>
      <c r="L96" s="186">
        <f t="shared" si="13"/>
        <v>299820</v>
      </c>
      <c r="M96" s="186">
        <f t="shared" si="12"/>
        <v>99.94</v>
      </c>
      <c r="N96" s="191" t="s">
        <v>792</v>
      </c>
    </row>
    <row r="97" spans="1:14" ht="19.5" customHeight="1">
      <c r="A97" s="183">
        <v>4573</v>
      </c>
      <c r="B97" s="183">
        <v>6171</v>
      </c>
      <c r="C97" s="183">
        <v>6121</v>
      </c>
      <c r="D97" s="183">
        <v>95</v>
      </c>
      <c r="E97" s="207" t="s">
        <v>793</v>
      </c>
      <c r="F97" s="209">
        <v>1000</v>
      </c>
      <c r="G97" s="190">
        <v>1000000</v>
      </c>
      <c r="H97" s="190"/>
      <c r="I97" s="190">
        <f t="shared" si="11"/>
        <v>1000000</v>
      </c>
      <c r="J97" s="190">
        <v>0</v>
      </c>
      <c r="K97" s="190">
        <v>820616</v>
      </c>
      <c r="L97" s="190">
        <f t="shared" si="13"/>
        <v>820616</v>
      </c>
      <c r="M97" s="190">
        <f t="shared" si="12"/>
        <v>82.0616</v>
      </c>
      <c r="N97" s="207" t="s">
        <v>794</v>
      </c>
    </row>
    <row r="98" spans="1:14" ht="19.5" customHeight="1">
      <c r="A98" s="183">
        <v>4442</v>
      </c>
      <c r="B98" s="183">
        <v>2212</v>
      </c>
      <c r="C98" s="183">
        <v>6121</v>
      </c>
      <c r="D98" s="183">
        <v>96</v>
      </c>
      <c r="E98" s="184" t="s">
        <v>795</v>
      </c>
      <c r="F98" s="201">
        <v>0</v>
      </c>
      <c r="G98" s="186">
        <v>1050000</v>
      </c>
      <c r="H98" s="202"/>
      <c r="I98" s="186">
        <f t="shared" si="11"/>
        <v>1050000</v>
      </c>
      <c r="J98" s="186">
        <v>0</v>
      </c>
      <c r="K98" s="186">
        <v>1049344.38</v>
      </c>
      <c r="L98" s="186">
        <f t="shared" si="13"/>
        <v>1049344.38</v>
      </c>
      <c r="M98" s="186">
        <f t="shared" si="12"/>
        <v>99.93755999999999</v>
      </c>
      <c r="N98" s="184"/>
    </row>
    <row r="99" spans="1:14" ht="19.5" customHeight="1">
      <c r="A99" s="183">
        <v>4448</v>
      </c>
      <c r="B99" s="183">
        <v>2219</v>
      </c>
      <c r="C99" s="183">
        <v>6121</v>
      </c>
      <c r="D99" s="183">
        <v>97</v>
      </c>
      <c r="E99" s="184" t="s">
        <v>796</v>
      </c>
      <c r="F99" s="185">
        <v>10000</v>
      </c>
      <c r="G99" s="186">
        <v>1437000</v>
      </c>
      <c r="H99" s="186"/>
      <c r="I99" s="186">
        <f t="shared" si="11"/>
        <v>1437000</v>
      </c>
      <c r="J99" s="186">
        <v>0</v>
      </c>
      <c r="K99" s="186">
        <v>1436556.22</v>
      </c>
      <c r="L99" s="186">
        <f t="shared" si="13"/>
        <v>1436556.22</v>
      </c>
      <c r="M99" s="186">
        <f t="shared" si="12"/>
        <v>99.96911760612387</v>
      </c>
      <c r="N99" s="184"/>
    </row>
    <row r="100" spans="1:14" ht="19.5" customHeight="1">
      <c r="A100" s="183">
        <v>4575</v>
      </c>
      <c r="B100" s="183">
        <v>2212</v>
      </c>
      <c r="C100" s="183">
        <v>6121</v>
      </c>
      <c r="D100" s="183">
        <v>98</v>
      </c>
      <c r="E100" s="184" t="s">
        <v>797</v>
      </c>
      <c r="F100" s="185">
        <v>400</v>
      </c>
      <c r="G100" s="186">
        <v>10000</v>
      </c>
      <c r="H100" s="186"/>
      <c r="I100" s="186">
        <f t="shared" si="11"/>
        <v>10000</v>
      </c>
      <c r="J100" s="186">
        <v>0</v>
      </c>
      <c r="K100" s="186">
        <v>6545</v>
      </c>
      <c r="L100" s="186">
        <f t="shared" si="13"/>
        <v>6545</v>
      </c>
      <c r="M100" s="186">
        <f t="shared" si="12"/>
        <v>65.45</v>
      </c>
      <c r="N100" s="184"/>
    </row>
    <row r="101" spans="1:14" ht="19.5" customHeight="1">
      <c r="A101" s="183">
        <v>4213</v>
      </c>
      <c r="B101" s="183">
        <v>3111</v>
      </c>
      <c r="C101" s="183">
        <v>6121</v>
      </c>
      <c r="D101" s="183">
        <v>99</v>
      </c>
      <c r="E101" s="184" t="s">
        <v>798</v>
      </c>
      <c r="F101" s="185">
        <v>0</v>
      </c>
      <c r="G101" s="186">
        <v>34000</v>
      </c>
      <c r="H101" s="186"/>
      <c r="I101" s="186">
        <f t="shared" si="11"/>
        <v>34000</v>
      </c>
      <c r="J101" s="186">
        <v>0</v>
      </c>
      <c r="K101" s="186">
        <v>33975</v>
      </c>
      <c r="L101" s="186">
        <f t="shared" si="13"/>
        <v>33975</v>
      </c>
      <c r="M101" s="186">
        <f t="shared" si="12"/>
        <v>99.92647058823529</v>
      </c>
      <c r="N101" s="184"/>
    </row>
    <row r="102" spans="1:14" ht="19.5" customHeight="1">
      <c r="A102" s="183">
        <v>4515</v>
      </c>
      <c r="B102" s="183">
        <v>2321</v>
      </c>
      <c r="C102" s="183">
        <v>6121</v>
      </c>
      <c r="D102" s="183">
        <v>100</v>
      </c>
      <c r="E102" s="184" t="s">
        <v>799</v>
      </c>
      <c r="F102" s="185">
        <v>80</v>
      </c>
      <c r="G102" s="186">
        <v>80000</v>
      </c>
      <c r="H102" s="186"/>
      <c r="I102" s="186">
        <f t="shared" si="11"/>
        <v>80000</v>
      </c>
      <c r="J102" s="186">
        <v>0</v>
      </c>
      <c r="K102" s="186">
        <v>0</v>
      </c>
      <c r="L102" s="186">
        <f t="shared" si="13"/>
        <v>0</v>
      </c>
      <c r="M102" s="186">
        <f t="shared" si="12"/>
        <v>0</v>
      </c>
      <c r="N102" s="184"/>
    </row>
    <row r="103" spans="1:14" ht="19.5" customHeight="1">
      <c r="A103" s="183">
        <v>4511</v>
      </c>
      <c r="B103" s="183">
        <v>3141</v>
      </c>
      <c r="C103" s="183">
        <v>6121</v>
      </c>
      <c r="D103" s="183">
        <v>101</v>
      </c>
      <c r="E103" s="184" t="s">
        <v>800</v>
      </c>
      <c r="F103" s="185">
        <v>190</v>
      </c>
      <c r="G103" s="186">
        <v>190000</v>
      </c>
      <c r="H103" s="186"/>
      <c r="I103" s="186">
        <f t="shared" si="11"/>
        <v>190000</v>
      </c>
      <c r="J103" s="186">
        <v>0</v>
      </c>
      <c r="K103" s="186">
        <v>154224</v>
      </c>
      <c r="L103" s="186">
        <f t="shared" si="13"/>
        <v>154224</v>
      </c>
      <c r="M103" s="186">
        <f t="shared" si="12"/>
        <v>81.17052631578947</v>
      </c>
      <c r="N103" s="184"/>
    </row>
    <row r="104" spans="1:14" ht="19.5" customHeight="1">
      <c r="A104" s="183">
        <v>4671</v>
      </c>
      <c r="B104" s="183">
        <v>3111</v>
      </c>
      <c r="C104" s="183">
        <v>6121</v>
      </c>
      <c r="D104" s="183">
        <v>102</v>
      </c>
      <c r="E104" s="184" t="s">
        <v>801</v>
      </c>
      <c r="F104" s="185">
        <v>0</v>
      </c>
      <c r="G104" s="186">
        <v>638000</v>
      </c>
      <c r="H104" s="186"/>
      <c r="I104" s="186">
        <f t="shared" si="11"/>
        <v>638000</v>
      </c>
      <c r="J104" s="186">
        <v>0</v>
      </c>
      <c r="K104" s="186">
        <v>45500</v>
      </c>
      <c r="L104" s="186">
        <f t="shared" si="13"/>
        <v>45500</v>
      </c>
      <c r="M104" s="186">
        <f t="shared" si="12"/>
        <v>7.131661442006269</v>
      </c>
      <c r="N104" s="184"/>
    </row>
    <row r="105" spans="1:14" ht="19.5" customHeight="1">
      <c r="A105" s="183">
        <v>4514</v>
      </c>
      <c r="B105" s="183">
        <v>3141</v>
      </c>
      <c r="C105" s="183">
        <v>6121</v>
      </c>
      <c r="D105" s="183">
        <v>103</v>
      </c>
      <c r="E105" s="184" t="s">
        <v>802</v>
      </c>
      <c r="F105" s="185">
        <v>190</v>
      </c>
      <c r="G105" s="186">
        <v>320000</v>
      </c>
      <c r="H105" s="186"/>
      <c r="I105" s="186">
        <f t="shared" si="11"/>
        <v>320000</v>
      </c>
      <c r="J105" s="186">
        <v>0</v>
      </c>
      <c r="K105" s="186">
        <v>319500.8</v>
      </c>
      <c r="L105" s="186">
        <f t="shared" si="13"/>
        <v>319500.8</v>
      </c>
      <c r="M105" s="186">
        <f t="shared" si="12"/>
        <v>99.844</v>
      </c>
      <c r="N105" s="184"/>
    </row>
    <row r="106" spans="1:14" ht="19.5" customHeight="1">
      <c r="A106" s="183">
        <v>4638</v>
      </c>
      <c r="B106" s="183">
        <v>3635</v>
      </c>
      <c r="C106" s="183">
        <v>6121</v>
      </c>
      <c r="D106" s="183">
        <v>104</v>
      </c>
      <c r="E106" s="184" t="s">
        <v>803</v>
      </c>
      <c r="F106" s="185">
        <v>0</v>
      </c>
      <c r="G106" s="186">
        <v>4242000</v>
      </c>
      <c r="H106" s="186"/>
      <c r="I106" s="186">
        <f t="shared" si="11"/>
        <v>4242000</v>
      </c>
      <c r="J106" s="186">
        <v>0</v>
      </c>
      <c r="K106" s="186">
        <v>4242000</v>
      </c>
      <c r="L106" s="186">
        <f t="shared" si="13"/>
        <v>4242000</v>
      </c>
      <c r="M106" s="186">
        <f t="shared" si="12"/>
        <v>100</v>
      </c>
      <c r="N106" s="184"/>
    </row>
    <row r="107" spans="1:14" ht="19.5" customHeight="1">
      <c r="A107" s="183">
        <v>4294</v>
      </c>
      <c r="B107" s="183">
        <v>3429</v>
      </c>
      <c r="C107" s="183">
        <v>6121</v>
      </c>
      <c r="D107" s="183">
        <v>105</v>
      </c>
      <c r="E107" s="184" t="s">
        <v>804</v>
      </c>
      <c r="F107" s="185">
        <v>2350</v>
      </c>
      <c r="G107" s="186">
        <v>1000</v>
      </c>
      <c r="H107" s="186"/>
      <c r="I107" s="186">
        <f t="shared" si="11"/>
        <v>1000</v>
      </c>
      <c r="J107" s="186">
        <v>0</v>
      </c>
      <c r="K107" s="186">
        <v>450</v>
      </c>
      <c r="L107" s="186">
        <f t="shared" si="13"/>
        <v>450</v>
      </c>
      <c r="M107" s="186">
        <f t="shared" si="12"/>
        <v>45</v>
      </c>
      <c r="N107" s="184"/>
    </row>
    <row r="108" spans="1:14" ht="19.5" customHeight="1">
      <c r="A108" s="183">
        <v>4593</v>
      </c>
      <c r="B108" s="183">
        <v>3631</v>
      </c>
      <c r="C108" s="183">
        <v>6121</v>
      </c>
      <c r="D108" s="183">
        <v>106</v>
      </c>
      <c r="E108" s="184" t="s">
        <v>805</v>
      </c>
      <c r="F108" s="185">
        <v>0</v>
      </c>
      <c r="G108" s="186">
        <v>41000</v>
      </c>
      <c r="H108" s="186"/>
      <c r="I108" s="186">
        <f t="shared" si="11"/>
        <v>41000</v>
      </c>
      <c r="J108" s="186">
        <v>0</v>
      </c>
      <c r="K108" s="186">
        <v>40616.9</v>
      </c>
      <c r="L108" s="186">
        <f t="shared" si="13"/>
        <v>40616.9</v>
      </c>
      <c r="M108" s="186">
        <f t="shared" si="12"/>
        <v>99.06560975609756</v>
      </c>
      <c r="N108" s="184"/>
    </row>
    <row r="109" spans="1:14" ht="19.5" customHeight="1">
      <c r="A109" s="183">
        <v>4441</v>
      </c>
      <c r="B109" s="183">
        <v>2212</v>
      </c>
      <c r="C109" s="183">
        <v>6121</v>
      </c>
      <c r="D109" s="183">
        <v>107</v>
      </c>
      <c r="E109" s="184" t="s">
        <v>806</v>
      </c>
      <c r="F109" s="185">
        <v>0</v>
      </c>
      <c r="G109" s="186">
        <v>938000</v>
      </c>
      <c r="H109" s="186"/>
      <c r="I109" s="186">
        <f t="shared" si="11"/>
        <v>938000</v>
      </c>
      <c r="J109" s="186">
        <v>0</v>
      </c>
      <c r="K109" s="186">
        <v>937343.96</v>
      </c>
      <c r="L109" s="186">
        <f t="shared" si="13"/>
        <v>937343.96</v>
      </c>
      <c r="M109" s="186">
        <f t="shared" si="12"/>
        <v>99.93005970149254</v>
      </c>
      <c r="N109" s="184"/>
    </row>
    <row r="110" spans="1:14" ht="19.5" customHeight="1">
      <c r="A110" s="183">
        <v>565</v>
      </c>
      <c r="B110" s="183">
        <v>2310</v>
      </c>
      <c r="C110" s="183">
        <v>6121</v>
      </c>
      <c r="D110" s="183">
        <v>108</v>
      </c>
      <c r="E110" s="184" t="s">
        <v>807</v>
      </c>
      <c r="F110" s="185">
        <v>4000</v>
      </c>
      <c r="G110" s="186">
        <v>2103000</v>
      </c>
      <c r="H110" s="186"/>
      <c r="I110" s="186">
        <f t="shared" si="11"/>
        <v>2103000</v>
      </c>
      <c r="J110" s="186">
        <v>360080.67</v>
      </c>
      <c r="K110" s="186">
        <v>1694992.53</v>
      </c>
      <c r="L110" s="186">
        <f t="shared" si="13"/>
        <v>2055073.2</v>
      </c>
      <c r="M110" s="186">
        <f t="shared" si="12"/>
        <v>97.72102710413695</v>
      </c>
      <c r="N110" s="184"/>
    </row>
    <row r="111" spans="1:14" ht="19.5" customHeight="1">
      <c r="A111" s="183">
        <v>4268</v>
      </c>
      <c r="B111" s="183">
        <v>3631</v>
      </c>
      <c r="C111" s="183">
        <v>6121</v>
      </c>
      <c r="D111" s="183">
        <v>109</v>
      </c>
      <c r="E111" s="184" t="s">
        <v>808</v>
      </c>
      <c r="F111" s="185">
        <v>0</v>
      </c>
      <c r="G111" s="186">
        <v>388000</v>
      </c>
      <c r="H111" s="186"/>
      <c r="I111" s="186">
        <f t="shared" si="11"/>
        <v>388000</v>
      </c>
      <c r="J111" s="186">
        <v>0</v>
      </c>
      <c r="K111" s="186">
        <v>387424</v>
      </c>
      <c r="L111" s="186">
        <f t="shared" si="13"/>
        <v>387424</v>
      </c>
      <c r="M111" s="186">
        <f t="shared" si="12"/>
        <v>99.85154639175258</v>
      </c>
      <c r="N111" s="184"/>
    </row>
    <row r="112" spans="1:14" ht="19.5" customHeight="1">
      <c r="A112" s="183">
        <v>4324</v>
      </c>
      <c r="B112" s="183">
        <v>2212</v>
      </c>
      <c r="C112" s="183">
        <v>6121</v>
      </c>
      <c r="D112" s="183">
        <v>110</v>
      </c>
      <c r="E112" s="184" t="s">
        <v>809</v>
      </c>
      <c r="F112" s="185">
        <v>0</v>
      </c>
      <c r="G112" s="186">
        <v>20000</v>
      </c>
      <c r="H112" s="186"/>
      <c r="I112" s="186">
        <f t="shared" si="11"/>
        <v>20000</v>
      </c>
      <c r="J112" s="186">
        <v>0</v>
      </c>
      <c r="K112" s="186">
        <v>4879</v>
      </c>
      <c r="L112" s="186">
        <f t="shared" si="13"/>
        <v>4879</v>
      </c>
      <c r="M112" s="186">
        <f t="shared" si="12"/>
        <v>24.395</v>
      </c>
      <c r="N112" s="184"/>
    </row>
    <row r="113" spans="1:14" ht="19.5" customHeight="1">
      <c r="A113" s="183">
        <v>4643</v>
      </c>
      <c r="B113" s="183">
        <v>3632</v>
      </c>
      <c r="C113" s="183">
        <v>6121</v>
      </c>
      <c r="D113" s="183">
        <v>111</v>
      </c>
      <c r="E113" s="184" t="s">
        <v>810</v>
      </c>
      <c r="F113" s="185">
        <v>0</v>
      </c>
      <c r="G113" s="186">
        <v>243500</v>
      </c>
      <c r="H113" s="186"/>
      <c r="I113" s="186">
        <f t="shared" si="11"/>
        <v>243500</v>
      </c>
      <c r="J113" s="186">
        <v>0</v>
      </c>
      <c r="K113" s="186">
        <v>229146</v>
      </c>
      <c r="L113" s="186">
        <f t="shared" si="13"/>
        <v>229146</v>
      </c>
      <c r="M113" s="186">
        <f t="shared" si="12"/>
        <v>94.10513347022588</v>
      </c>
      <c r="N113" s="184"/>
    </row>
    <row r="114" spans="1:14" ht="19.5" customHeight="1">
      <c r="A114" s="183">
        <v>4455</v>
      </c>
      <c r="B114" s="183">
        <v>2212</v>
      </c>
      <c r="C114" s="183">
        <v>6121</v>
      </c>
      <c r="D114" s="183">
        <v>112</v>
      </c>
      <c r="E114" s="184" t="s">
        <v>811</v>
      </c>
      <c r="F114" s="185">
        <v>50</v>
      </c>
      <c r="G114" s="186">
        <v>50000</v>
      </c>
      <c r="H114" s="186"/>
      <c r="I114" s="186">
        <f aca="true" t="shared" si="14" ref="I114:I141">G114+H114</f>
        <v>50000</v>
      </c>
      <c r="J114" s="186">
        <v>0</v>
      </c>
      <c r="K114" s="186">
        <v>0</v>
      </c>
      <c r="L114" s="186">
        <f t="shared" si="13"/>
        <v>0</v>
      </c>
      <c r="M114" s="186">
        <f t="shared" si="12"/>
        <v>0</v>
      </c>
      <c r="N114" s="184"/>
    </row>
    <row r="115" spans="1:14" ht="19.5" customHeight="1">
      <c r="A115" s="183">
        <v>893</v>
      </c>
      <c r="B115" s="183">
        <v>2321</v>
      </c>
      <c r="C115" s="183">
        <v>6121</v>
      </c>
      <c r="D115" s="183">
        <v>113</v>
      </c>
      <c r="E115" s="184" t="s">
        <v>812</v>
      </c>
      <c r="F115" s="185">
        <v>31000</v>
      </c>
      <c r="G115" s="186">
        <v>31200000</v>
      </c>
      <c r="H115" s="186"/>
      <c r="I115" s="186">
        <f t="shared" si="14"/>
        <v>31200000</v>
      </c>
      <c r="J115" s="186">
        <v>4968171.82</v>
      </c>
      <c r="K115" s="186">
        <v>26142272.28</v>
      </c>
      <c r="L115" s="186">
        <f t="shared" si="13"/>
        <v>31110444.1</v>
      </c>
      <c r="M115" s="186">
        <f t="shared" si="12"/>
        <v>99.71296185897435</v>
      </c>
      <c r="N115" s="184"/>
    </row>
    <row r="116" spans="1:14" ht="19.5" customHeight="1">
      <c r="A116" s="183">
        <v>4438</v>
      </c>
      <c r="B116" s="183">
        <v>3631</v>
      </c>
      <c r="C116" s="183">
        <v>6121</v>
      </c>
      <c r="D116" s="183">
        <v>114</v>
      </c>
      <c r="E116" s="184" t="s">
        <v>813</v>
      </c>
      <c r="F116" s="185">
        <v>0</v>
      </c>
      <c r="G116" s="186">
        <v>895000</v>
      </c>
      <c r="H116" s="186"/>
      <c r="I116" s="186">
        <f t="shared" si="14"/>
        <v>895000</v>
      </c>
      <c r="J116" s="186">
        <v>0</v>
      </c>
      <c r="K116" s="186">
        <v>894759</v>
      </c>
      <c r="L116" s="186">
        <f t="shared" si="13"/>
        <v>894759</v>
      </c>
      <c r="M116" s="186">
        <f t="shared" si="12"/>
        <v>99.97307262569832</v>
      </c>
      <c r="N116" s="184"/>
    </row>
    <row r="117" spans="1:14" ht="19.5" customHeight="1">
      <c r="A117" s="183">
        <v>4598</v>
      </c>
      <c r="B117" s="183">
        <v>2212</v>
      </c>
      <c r="C117" s="183">
        <v>6121</v>
      </c>
      <c r="D117" s="183">
        <v>115</v>
      </c>
      <c r="E117" s="184" t="s">
        <v>814</v>
      </c>
      <c r="F117" s="201">
        <v>0</v>
      </c>
      <c r="G117" s="186">
        <v>53000</v>
      </c>
      <c r="H117" s="202"/>
      <c r="I117" s="186">
        <f t="shared" si="14"/>
        <v>53000</v>
      </c>
      <c r="J117" s="186">
        <v>0</v>
      </c>
      <c r="K117" s="186">
        <v>0</v>
      </c>
      <c r="L117" s="186">
        <f t="shared" si="13"/>
        <v>0</v>
      </c>
      <c r="M117" s="186">
        <f t="shared" si="12"/>
        <v>0</v>
      </c>
      <c r="N117" s="184"/>
    </row>
    <row r="118" spans="1:14" ht="19.5" customHeight="1">
      <c r="A118" s="183">
        <v>4599</v>
      </c>
      <c r="B118" s="183">
        <v>2212</v>
      </c>
      <c r="C118" s="183">
        <v>6121</v>
      </c>
      <c r="D118" s="183">
        <v>116</v>
      </c>
      <c r="E118" s="184" t="s">
        <v>815</v>
      </c>
      <c r="F118" s="201">
        <v>0</v>
      </c>
      <c r="G118" s="186">
        <v>83000</v>
      </c>
      <c r="H118" s="202"/>
      <c r="I118" s="186">
        <f t="shared" si="14"/>
        <v>83000</v>
      </c>
      <c r="J118" s="186">
        <v>0</v>
      </c>
      <c r="K118" s="186">
        <v>0</v>
      </c>
      <c r="L118" s="186">
        <f t="shared" si="13"/>
        <v>0</v>
      </c>
      <c r="M118" s="186">
        <f t="shared" si="12"/>
        <v>0</v>
      </c>
      <c r="N118" s="184"/>
    </row>
    <row r="119" spans="1:14" ht="19.5" customHeight="1">
      <c r="A119" s="183">
        <v>4318</v>
      </c>
      <c r="B119" s="183">
        <v>2219</v>
      </c>
      <c r="C119" s="183">
        <v>6121</v>
      </c>
      <c r="D119" s="183">
        <v>117</v>
      </c>
      <c r="E119" s="184" t="s">
        <v>816</v>
      </c>
      <c r="F119" s="201">
        <v>0</v>
      </c>
      <c r="G119" s="186">
        <v>40000</v>
      </c>
      <c r="H119" s="202"/>
      <c r="I119" s="186">
        <f t="shared" si="14"/>
        <v>40000</v>
      </c>
      <c r="J119" s="186">
        <v>0</v>
      </c>
      <c r="K119" s="186">
        <f>14637+1400</f>
        <v>16037</v>
      </c>
      <c r="L119" s="186">
        <f t="shared" si="13"/>
        <v>16037</v>
      </c>
      <c r="M119" s="186">
        <f aca="true" t="shared" si="15" ref="M119:M150">L119/I119*100</f>
        <v>40.0925</v>
      </c>
      <c r="N119" s="184"/>
    </row>
    <row r="120" spans="1:14" ht="19.5" customHeight="1">
      <c r="A120" s="183">
        <v>4192</v>
      </c>
      <c r="B120" s="183">
        <v>2212</v>
      </c>
      <c r="C120" s="183">
        <v>6121</v>
      </c>
      <c r="D120" s="183">
        <v>118</v>
      </c>
      <c r="E120" s="184" t="s">
        <v>817</v>
      </c>
      <c r="F120" s="185">
        <v>24800</v>
      </c>
      <c r="G120" s="186">
        <v>15380000</v>
      </c>
      <c r="H120" s="186"/>
      <c r="I120" s="186">
        <f t="shared" si="14"/>
        <v>15380000</v>
      </c>
      <c r="J120" s="186">
        <f>156364.3+234546.46+234546.46</f>
        <v>625457.22</v>
      </c>
      <c r="K120" s="186">
        <v>12515622.49</v>
      </c>
      <c r="L120" s="186">
        <f t="shared" si="13"/>
        <v>13141079.71</v>
      </c>
      <c r="M120" s="186">
        <f t="shared" si="15"/>
        <v>85.44265091027309</v>
      </c>
      <c r="N120" s="191" t="s">
        <v>750</v>
      </c>
    </row>
    <row r="121" spans="1:14" ht="19.5" customHeight="1">
      <c r="A121" s="210">
        <v>41922</v>
      </c>
      <c r="B121" s="210">
        <v>2212</v>
      </c>
      <c r="C121" s="210">
        <v>6121</v>
      </c>
      <c r="D121" s="183">
        <v>119</v>
      </c>
      <c r="E121" s="211" t="s">
        <v>817</v>
      </c>
      <c r="F121" s="212">
        <v>0</v>
      </c>
      <c r="G121" s="213">
        <v>6759266.04</v>
      </c>
      <c r="H121" s="213">
        <v>-1482.56</v>
      </c>
      <c r="I121" s="213">
        <f t="shared" si="14"/>
        <v>6757783.48</v>
      </c>
      <c r="J121" s="213">
        <v>0</v>
      </c>
      <c r="K121" s="213">
        <v>6757783.48</v>
      </c>
      <c r="L121" s="213">
        <f t="shared" si="13"/>
        <v>6757783.48</v>
      </c>
      <c r="M121" s="213">
        <f t="shared" si="15"/>
        <v>100</v>
      </c>
      <c r="N121" s="214" t="s">
        <v>783</v>
      </c>
    </row>
    <row r="122" spans="1:14" ht="19.5" customHeight="1">
      <c r="A122" s="210">
        <v>41922</v>
      </c>
      <c r="B122" s="210">
        <v>2212</v>
      </c>
      <c r="C122" s="210">
        <v>5163</v>
      </c>
      <c r="D122" s="183">
        <v>120</v>
      </c>
      <c r="E122" s="211" t="s">
        <v>817</v>
      </c>
      <c r="F122" s="212">
        <v>0</v>
      </c>
      <c r="G122" s="213">
        <v>0</v>
      </c>
      <c r="H122" s="213">
        <v>1482.56</v>
      </c>
      <c r="I122" s="213">
        <f t="shared" si="14"/>
        <v>1482.56</v>
      </c>
      <c r="J122" s="213">
        <v>0</v>
      </c>
      <c r="K122" s="213">
        <v>1482.56</v>
      </c>
      <c r="L122" s="213">
        <f t="shared" si="13"/>
        <v>1482.56</v>
      </c>
      <c r="M122" s="213">
        <f t="shared" si="15"/>
        <v>100</v>
      </c>
      <c r="N122" s="214" t="s">
        <v>783</v>
      </c>
    </row>
    <row r="123" spans="1:15" s="216" customFormat="1" ht="19.5" customHeight="1" outlineLevel="1">
      <c r="A123" s="183">
        <v>41921</v>
      </c>
      <c r="B123" s="183">
        <v>2212</v>
      </c>
      <c r="C123" s="183">
        <v>6121</v>
      </c>
      <c r="D123" s="183">
        <v>121</v>
      </c>
      <c r="E123" s="184" t="s">
        <v>817</v>
      </c>
      <c r="F123" s="185">
        <v>0</v>
      </c>
      <c r="G123" s="186">
        <v>8859684.88</v>
      </c>
      <c r="H123" s="186">
        <v>-1482.56</v>
      </c>
      <c r="I123" s="186">
        <f t="shared" si="14"/>
        <v>8858202.32</v>
      </c>
      <c r="J123" s="186">
        <v>0</v>
      </c>
      <c r="K123" s="186">
        <v>8858202.32</v>
      </c>
      <c r="L123" s="186">
        <f t="shared" si="13"/>
        <v>8858202.32</v>
      </c>
      <c r="M123" s="213">
        <f t="shared" si="15"/>
        <v>100</v>
      </c>
      <c r="N123" s="191" t="s">
        <v>782</v>
      </c>
      <c r="O123" s="215"/>
    </row>
    <row r="124" spans="1:15" s="221" customFormat="1" ht="19.5" customHeight="1" outlineLevel="1">
      <c r="A124" s="217">
        <v>41921</v>
      </c>
      <c r="B124" s="217">
        <v>2212</v>
      </c>
      <c r="C124" s="217">
        <v>5163</v>
      </c>
      <c r="D124" s="183">
        <v>122</v>
      </c>
      <c r="E124" s="184" t="s">
        <v>817</v>
      </c>
      <c r="F124" s="218">
        <v>0</v>
      </c>
      <c r="G124" s="219">
        <v>0</v>
      </c>
      <c r="H124" s="219">
        <v>1482.56</v>
      </c>
      <c r="I124" s="186">
        <f t="shared" si="14"/>
        <v>1482.56</v>
      </c>
      <c r="J124" s="219">
        <v>0</v>
      </c>
      <c r="K124" s="219">
        <v>1482.56</v>
      </c>
      <c r="L124" s="186">
        <f t="shared" si="13"/>
        <v>1482.56</v>
      </c>
      <c r="M124" s="186">
        <f t="shared" si="15"/>
        <v>100</v>
      </c>
      <c r="N124" s="191" t="s">
        <v>782</v>
      </c>
      <c r="O124" s="220"/>
    </row>
    <row r="125" spans="1:14" ht="19.5" customHeight="1" outlineLevel="1">
      <c r="A125" s="217">
        <v>4647</v>
      </c>
      <c r="B125" s="217">
        <v>2321</v>
      </c>
      <c r="C125" s="217">
        <v>6121</v>
      </c>
      <c r="D125" s="183">
        <v>123</v>
      </c>
      <c r="E125" s="222" t="s">
        <v>818</v>
      </c>
      <c r="F125" s="218">
        <v>0</v>
      </c>
      <c r="G125" s="219">
        <v>192000</v>
      </c>
      <c r="H125" s="219"/>
      <c r="I125" s="219">
        <f t="shared" si="14"/>
        <v>192000</v>
      </c>
      <c r="J125" s="219">
        <v>0</v>
      </c>
      <c r="K125" s="219">
        <v>191875</v>
      </c>
      <c r="L125" s="219">
        <f t="shared" si="13"/>
        <v>191875</v>
      </c>
      <c r="M125" s="186">
        <f t="shared" si="15"/>
        <v>99.93489583333334</v>
      </c>
      <c r="N125" s="223"/>
    </row>
    <row r="126" spans="1:14" s="200" customFormat="1" ht="19.5" customHeight="1">
      <c r="A126" s="224">
        <v>4589</v>
      </c>
      <c r="B126" s="196">
        <v>3639</v>
      </c>
      <c r="C126" s="196">
        <v>6121</v>
      </c>
      <c r="D126" s="183">
        <v>124</v>
      </c>
      <c r="E126" s="187" t="s">
        <v>819</v>
      </c>
      <c r="F126" s="225">
        <v>2000</v>
      </c>
      <c r="G126" s="186">
        <v>2820000</v>
      </c>
      <c r="H126" s="204"/>
      <c r="I126" s="186">
        <f t="shared" si="14"/>
        <v>2820000</v>
      </c>
      <c r="J126" s="186">
        <v>0</v>
      </c>
      <c r="K126" s="186">
        <v>2797240.5</v>
      </c>
      <c r="L126" s="186">
        <f t="shared" si="13"/>
        <v>2797240.5</v>
      </c>
      <c r="M126" s="186">
        <f t="shared" si="15"/>
        <v>99.1929255319149</v>
      </c>
      <c r="N126" s="187"/>
    </row>
    <row r="127" spans="1:14" s="200" customFormat="1" ht="19.5" customHeight="1">
      <c r="A127" s="224">
        <v>152</v>
      </c>
      <c r="B127" s="196">
        <v>3745</v>
      </c>
      <c r="C127" s="196">
        <v>6121</v>
      </c>
      <c r="D127" s="183">
        <v>125</v>
      </c>
      <c r="E127" s="187" t="s">
        <v>820</v>
      </c>
      <c r="F127" s="225">
        <v>5000</v>
      </c>
      <c r="G127" s="186">
        <v>7758500</v>
      </c>
      <c r="H127" s="204"/>
      <c r="I127" s="186">
        <f t="shared" si="14"/>
        <v>7758500</v>
      </c>
      <c r="J127" s="186">
        <v>0</v>
      </c>
      <c r="K127" s="186">
        <v>7729285.5</v>
      </c>
      <c r="L127" s="186">
        <f aca="true" t="shared" si="16" ref="L127:L158">J127+K127</f>
        <v>7729285.5</v>
      </c>
      <c r="M127" s="186">
        <f t="shared" si="15"/>
        <v>99.62345169813752</v>
      </c>
      <c r="N127" s="187"/>
    </row>
    <row r="128" spans="1:14" s="200" customFormat="1" ht="19.5" customHeight="1">
      <c r="A128" s="224">
        <v>4469</v>
      </c>
      <c r="B128" s="196">
        <v>2219</v>
      </c>
      <c r="C128" s="196">
        <v>6121</v>
      </c>
      <c r="D128" s="183">
        <v>126</v>
      </c>
      <c r="E128" s="187" t="s">
        <v>821</v>
      </c>
      <c r="F128" s="225">
        <v>0</v>
      </c>
      <c r="G128" s="186">
        <v>1091000</v>
      </c>
      <c r="H128" s="204"/>
      <c r="I128" s="186">
        <f t="shared" si="14"/>
        <v>1091000</v>
      </c>
      <c r="J128" s="186">
        <v>0</v>
      </c>
      <c r="K128" s="186">
        <v>1082957</v>
      </c>
      <c r="L128" s="186">
        <f t="shared" si="16"/>
        <v>1082957</v>
      </c>
      <c r="M128" s="186">
        <f t="shared" si="15"/>
        <v>99.26278643446379</v>
      </c>
      <c r="N128" s="187"/>
    </row>
    <row r="129" spans="1:14" ht="19.5" customHeight="1">
      <c r="A129" s="183">
        <v>4397</v>
      </c>
      <c r="B129" s="183">
        <v>2219</v>
      </c>
      <c r="C129" s="183">
        <v>6121</v>
      </c>
      <c r="D129" s="183">
        <v>127</v>
      </c>
      <c r="E129" s="226" t="s">
        <v>822</v>
      </c>
      <c r="F129" s="185">
        <v>7000</v>
      </c>
      <c r="G129" s="186">
        <v>6110000</v>
      </c>
      <c r="H129" s="186"/>
      <c r="I129" s="186">
        <f t="shared" si="14"/>
        <v>6110000</v>
      </c>
      <c r="J129" s="186">
        <v>0</v>
      </c>
      <c r="K129" s="186">
        <v>6084916.9</v>
      </c>
      <c r="L129" s="186">
        <f t="shared" si="16"/>
        <v>6084916.9</v>
      </c>
      <c r="M129" s="186">
        <f t="shared" si="15"/>
        <v>99.58947463175123</v>
      </c>
      <c r="N129" s="184"/>
    </row>
    <row r="130" spans="1:14" s="200" customFormat="1" ht="19.5" customHeight="1">
      <c r="A130" s="196">
        <v>4550</v>
      </c>
      <c r="B130" s="196">
        <v>3419</v>
      </c>
      <c r="C130" s="196">
        <v>6121</v>
      </c>
      <c r="D130" s="183">
        <v>128</v>
      </c>
      <c r="E130" s="187" t="s">
        <v>823</v>
      </c>
      <c r="F130" s="227">
        <v>600</v>
      </c>
      <c r="G130" s="186">
        <v>600000</v>
      </c>
      <c r="H130" s="228"/>
      <c r="I130" s="186">
        <f t="shared" si="14"/>
        <v>600000</v>
      </c>
      <c r="J130" s="186">
        <v>0</v>
      </c>
      <c r="K130" s="186">
        <v>0</v>
      </c>
      <c r="L130" s="186">
        <f t="shared" si="16"/>
        <v>0</v>
      </c>
      <c r="M130" s="186">
        <f t="shared" si="15"/>
        <v>0</v>
      </c>
      <c r="N130" s="187"/>
    </row>
    <row r="131" spans="1:14" s="200" customFormat="1" ht="19.5" customHeight="1">
      <c r="A131" s="196">
        <v>4432</v>
      </c>
      <c r="B131" s="196">
        <v>3419</v>
      </c>
      <c r="C131" s="196">
        <v>6121</v>
      </c>
      <c r="D131" s="183">
        <v>129</v>
      </c>
      <c r="E131" s="187" t="s">
        <v>824</v>
      </c>
      <c r="F131" s="227">
        <v>12000</v>
      </c>
      <c r="G131" s="186">
        <v>10806000</v>
      </c>
      <c r="H131" s="228"/>
      <c r="I131" s="186">
        <f t="shared" si="14"/>
        <v>10806000</v>
      </c>
      <c r="J131" s="186">
        <v>1595313.89</v>
      </c>
      <c r="K131" s="186">
        <v>9071005.41</v>
      </c>
      <c r="L131" s="186">
        <f t="shared" si="16"/>
        <v>10666319.3</v>
      </c>
      <c r="M131" s="186">
        <f t="shared" si="15"/>
        <v>98.70737830834723</v>
      </c>
      <c r="N131" s="187"/>
    </row>
    <row r="132" spans="1:14" s="200" customFormat="1" ht="19.5" customHeight="1">
      <c r="A132" s="196">
        <v>4364</v>
      </c>
      <c r="B132" s="196">
        <v>2219</v>
      </c>
      <c r="C132" s="196">
        <v>6121</v>
      </c>
      <c r="D132" s="183">
        <v>130</v>
      </c>
      <c r="E132" s="187" t="s">
        <v>825</v>
      </c>
      <c r="F132" s="227">
        <v>0</v>
      </c>
      <c r="G132" s="186">
        <v>434000</v>
      </c>
      <c r="H132" s="228"/>
      <c r="I132" s="186">
        <f t="shared" si="14"/>
        <v>434000</v>
      </c>
      <c r="J132" s="186">
        <v>0</v>
      </c>
      <c r="K132" s="186">
        <v>0</v>
      </c>
      <c r="L132" s="186">
        <f t="shared" si="16"/>
        <v>0</v>
      </c>
      <c r="M132" s="186">
        <f t="shared" si="15"/>
        <v>0</v>
      </c>
      <c r="N132" s="187"/>
    </row>
    <row r="133" spans="1:14" s="200" customFormat="1" ht="19.5" customHeight="1">
      <c r="A133" s="196">
        <v>4305</v>
      </c>
      <c r="B133" s="196">
        <v>2219</v>
      </c>
      <c r="C133" s="196">
        <v>6121</v>
      </c>
      <c r="D133" s="183">
        <v>131</v>
      </c>
      <c r="E133" s="187" t="s">
        <v>826</v>
      </c>
      <c r="F133" s="227">
        <v>0</v>
      </c>
      <c r="G133" s="186">
        <v>22000</v>
      </c>
      <c r="H133" s="228"/>
      <c r="I133" s="186">
        <f t="shared" si="14"/>
        <v>22000</v>
      </c>
      <c r="J133" s="186">
        <v>0</v>
      </c>
      <c r="K133" s="186">
        <v>7100</v>
      </c>
      <c r="L133" s="186">
        <f t="shared" si="16"/>
        <v>7100</v>
      </c>
      <c r="M133" s="186">
        <f t="shared" si="15"/>
        <v>32.27272727272727</v>
      </c>
      <c r="N133" s="187"/>
    </row>
    <row r="134" spans="1:14" ht="19.5" customHeight="1">
      <c r="A134" s="183">
        <v>4521</v>
      </c>
      <c r="B134" s="183">
        <v>2219</v>
      </c>
      <c r="C134" s="183">
        <v>6121</v>
      </c>
      <c r="D134" s="183">
        <v>132</v>
      </c>
      <c r="E134" s="184" t="s">
        <v>827</v>
      </c>
      <c r="F134" s="185">
        <v>100</v>
      </c>
      <c r="G134" s="186">
        <v>100000</v>
      </c>
      <c r="H134" s="186"/>
      <c r="I134" s="186">
        <f t="shared" si="14"/>
        <v>100000</v>
      </c>
      <c r="J134" s="186">
        <v>0</v>
      </c>
      <c r="K134" s="186">
        <v>0</v>
      </c>
      <c r="L134" s="186">
        <f t="shared" si="16"/>
        <v>0</v>
      </c>
      <c r="M134" s="186">
        <f t="shared" si="15"/>
        <v>0</v>
      </c>
      <c r="N134" s="184"/>
    </row>
    <row r="135" spans="1:14" ht="19.5" customHeight="1">
      <c r="A135" s="183">
        <v>4172</v>
      </c>
      <c r="B135" s="183">
        <v>2321</v>
      </c>
      <c r="C135" s="183">
        <v>6121</v>
      </c>
      <c r="D135" s="183">
        <v>133</v>
      </c>
      <c r="E135" s="184" t="s">
        <v>828</v>
      </c>
      <c r="F135" s="185">
        <v>200</v>
      </c>
      <c r="G135" s="186">
        <v>275000</v>
      </c>
      <c r="H135" s="186"/>
      <c r="I135" s="186">
        <f t="shared" si="14"/>
        <v>275000</v>
      </c>
      <c r="J135" s="186">
        <v>0</v>
      </c>
      <c r="K135" s="186">
        <v>274627.01</v>
      </c>
      <c r="L135" s="186">
        <f t="shared" si="16"/>
        <v>274627.01</v>
      </c>
      <c r="M135" s="186">
        <f t="shared" si="15"/>
        <v>99.86436727272728</v>
      </c>
      <c r="N135" s="184"/>
    </row>
    <row r="136" spans="1:14" ht="19.5" customHeight="1">
      <c r="A136" s="183">
        <v>4319</v>
      </c>
      <c r="B136" s="183">
        <v>2321</v>
      </c>
      <c r="C136" s="183">
        <v>6121</v>
      </c>
      <c r="D136" s="183">
        <v>134</v>
      </c>
      <c r="E136" s="184" t="s">
        <v>829</v>
      </c>
      <c r="F136" s="185">
        <v>120</v>
      </c>
      <c r="G136" s="186">
        <v>120000</v>
      </c>
      <c r="H136" s="186"/>
      <c r="I136" s="186">
        <f t="shared" si="14"/>
        <v>120000</v>
      </c>
      <c r="J136" s="186">
        <v>18725.64</v>
      </c>
      <c r="K136" s="186">
        <v>98556.36</v>
      </c>
      <c r="L136" s="186">
        <f t="shared" si="16"/>
        <v>117282</v>
      </c>
      <c r="M136" s="186">
        <f t="shared" si="15"/>
        <v>97.735</v>
      </c>
      <c r="N136" s="184"/>
    </row>
    <row r="137" spans="1:14" ht="19.5" customHeight="1">
      <c r="A137" s="183">
        <v>4176</v>
      </c>
      <c r="B137" s="183">
        <v>2212</v>
      </c>
      <c r="C137" s="183">
        <v>6121</v>
      </c>
      <c r="D137" s="183">
        <v>135</v>
      </c>
      <c r="E137" s="184" t="s">
        <v>830</v>
      </c>
      <c r="F137" s="185">
        <v>10550</v>
      </c>
      <c r="G137" s="186">
        <v>6130000</v>
      </c>
      <c r="H137" s="186">
        <v>-851671</v>
      </c>
      <c r="I137" s="186">
        <f t="shared" si="14"/>
        <v>5278329</v>
      </c>
      <c r="J137" s="186">
        <f>92554.23+138831.34+138831.34</f>
        <v>370216.91000000003</v>
      </c>
      <c r="K137" s="186">
        <v>4608490.27</v>
      </c>
      <c r="L137" s="186">
        <f t="shared" si="16"/>
        <v>4978707.18</v>
      </c>
      <c r="M137" s="186">
        <f t="shared" si="15"/>
        <v>94.32354785008664</v>
      </c>
      <c r="N137" s="191" t="s">
        <v>750</v>
      </c>
    </row>
    <row r="138" spans="1:14" ht="19.5" customHeight="1">
      <c r="A138" s="183">
        <v>41762</v>
      </c>
      <c r="B138" s="183">
        <v>2212</v>
      </c>
      <c r="C138" s="183">
        <v>6121</v>
      </c>
      <c r="D138" s="183">
        <v>136</v>
      </c>
      <c r="E138" s="184" t="s">
        <v>830</v>
      </c>
      <c r="F138" s="185">
        <v>0</v>
      </c>
      <c r="G138" s="186">
        <v>4651755.49</v>
      </c>
      <c r="H138" s="186">
        <v>-1322.81</v>
      </c>
      <c r="I138" s="186">
        <f t="shared" si="14"/>
        <v>4650432.680000001</v>
      </c>
      <c r="J138" s="186">
        <v>0</v>
      </c>
      <c r="K138" s="186">
        <v>4650432.68</v>
      </c>
      <c r="L138" s="186">
        <f t="shared" si="16"/>
        <v>4650432.68</v>
      </c>
      <c r="M138" s="186">
        <f t="shared" si="15"/>
        <v>99.99999999999997</v>
      </c>
      <c r="N138" s="191" t="s">
        <v>783</v>
      </c>
    </row>
    <row r="139" spans="1:14" ht="19.5" customHeight="1">
      <c r="A139" s="183">
        <v>41762</v>
      </c>
      <c r="B139" s="183">
        <v>2212</v>
      </c>
      <c r="C139" s="183">
        <v>5163</v>
      </c>
      <c r="D139" s="183">
        <v>137</v>
      </c>
      <c r="E139" s="184" t="s">
        <v>830</v>
      </c>
      <c r="F139" s="185">
        <v>0</v>
      </c>
      <c r="G139" s="186">
        <v>0</v>
      </c>
      <c r="H139" s="186">
        <v>1322.81</v>
      </c>
      <c r="I139" s="186">
        <f t="shared" si="14"/>
        <v>1322.81</v>
      </c>
      <c r="J139" s="186">
        <v>0</v>
      </c>
      <c r="K139" s="186">
        <v>1322.81</v>
      </c>
      <c r="L139" s="186">
        <f t="shared" si="16"/>
        <v>1322.81</v>
      </c>
      <c r="M139" s="186">
        <f t="shared" si="15"/>
        <v>100</v>
      </c>
      <c r="N139" s="191" t="s">
        <v>783</v>
      </c>
    </row>
    <row r="140" spans="1:14" ht="19.5" customHeight="1" outlineLevel="1">
      <c r="A140" s="183">
        <v>41761</v>
      </c>
      <c r="B140" s="183">
        <v>2212</v>
      </c>
      <c r="C140" s="183">
        <v>6121</v>
      </c>
      <c r="D140" s="183">
        <v>138</v>
      </c>
      <c r="E140" s="184" t="s">
        <v>830</v>
      </c>
      <c r="F140" s="185">
        <v>0</v>
      </c>
      <c r="G140" s="186">
        <v>6090294.92</v>
      </c>
      <c r="H140" s="186">
        <v>-1322.81</v>
      </c>
      <c r="I140" s="186">
        <f t="shared" si="14"/>
        <v>6088972.11</v>
      </c>
      <c r="J140" s="186">
        <v>0</v>
      </c>
      <c r="K140" s="186">
        <v>6088972.11</v>
      </c>
      <c r="L140" s="186">
        <f t="shared" si="16"/>
        <v>6088972.11</v>
      </c>
      <c r="M140" s="186">
        <f t="shared" si="15"/>
        <v>100</v>
      </c>
      <c r="N140" s="191" t="s">
        <v>782</v>
      </c>
    </row>
    <row r="141" spans="1:14" ht="19.5" customHeight="1" outlineLevel="1">
      <c r="A141" s="183">
        <v>41761</v>
      </c>
      <c r="B141" s="183">
        <v>2212</v>
      </c>
      <c r="C141" s="183">
        <v>5163</v>
      </c>
      <c r="D141" s="183">
        <v>139</v>
      </c>
      <c r="E141" s="184" t="s">
        <v>830</v>
      </c>
      <c r="F141" s="185">
        <v>0</v>
      </c>
      <c r="G141" s="186">
        <v>0</v>
      </c>
      <c r="H141" s="186">
        <v>1322.81</v>
      </c>
      <c r="I141" s="186">
        <f t="shared" si="14"/>
        <v>1322.81</v>
      </c>
      <c r="J141" s="186">
        <v>0</v>
      </c>
      <c r="K141" s="186">
        <v>1322.81</v>
      </c>
      <c r="L141" s="186">
        <f t="shared" si="16"/>
        <v>1322.81</v>
      </c>
      <c r="M141" s="186">
        <f t="shared" si="15"/>
        <v>100</v>
      </c>
      <c r="N141" s="191" t="s">
        <v>782</v>
      </c>
    </row>
    <row r="142" spans="1:14" ht="19.5" customHeight="1">
      <c r="A142" s="183">
        <v>4518</v>
      </c>
      <c r="B142" s="183">
        <v>2321</v>
      </c>
      <c r="C142" s="183">
        <v>6121</v>
      </c>
      <c r="D142" s="183">
        <v>140</v>
      </c>
      <c r="E142" s="184" t="s">
        <v>831</v>
      </c>
      <c r="F142" s="185">
        <v>1700</v>
      </c>
      <c r="G142" s="186">
        <v>2003500</v>
      </c>
      <c r="H142" s="186"/>
      <c r="I142" s="186">
        <v>2003500</v>
      </c>
      <c r="J142" s="186">
        <v>0</v>
      </c>
      <c r="K142" s="186">
        <v>1963500</v>
      </c>
      <c r="L142" s="186">
        <f t="shared" si="16"/>
        <v>1963500</v>
      </c>
      <c r="M142" s="186">
        <f t="shared" si="15"/>
        <v>98.00349388570002</v>
      </c>
      <c r="N142" s="184"/>
    </row>
    <row r="143" spans="1:14" ht="19.5" customHeight="1">
      <c r="A143" s="183">
        <v>1064</v>
      </c>
      <c r="B143" s="183">
        <v>2212</v>
      </c>
      <c r="C143" s="183">
        <v>6121</v>
      </c>
      <c r="D143" s="183">
        <v>141</v>
      </c>
      <c r="E143" s="184" t="s">
        <v>832</v>
      </c>
      <c r="F143" s="185">
        <v>0</v>
      </c>
      <c r="G143" s="186">
        <v>20000</v>
      </c>
      <c r="H143" s="186"/>
      <c r="I143" s="186">
        <f aca="true" t="shared" si="17" ref="I143:I149">G143+H143</f>
        <v>20000</v>
      </c>
      <c r="J143" s="186">
        <v>0</v>
      </c>
      <c r="K143" s="186">
        <v>19940.3</v>
      </c>
      <c r="L143" s="186">
        <f t="shared" si="16"/>
        <v>19940.3</v>
      </c>
      <c r="M143" s="186">
        <f t="shared" si="15"/>
        <v>99.7015</v>
      </c>
      <c r="N143" s="184"/>
    </row>
    <row r="144" spans="1:14" ht="19.5" customHeight="1">
      <c r="A144" s="183">
        <v>4188</v>
      </c>
      <c r="B144" s="183">
        <v>2333</v>
      </c>
      <c r="C144" s="183">
        <v>6121</v>
      </c>
      <c r="D144" s="183">
        <v>142</v>
      </c>
      <c r="E144" s="184" t="s">
        <v>833</v>
      </c>
      <c r="F144" s="185">
        <v>1000</v>
      </c>
      <c r="G144" s="186">
        <v>1000000</v>
      </c>
      <c r="H144" s="186"/>
      <c r="I144" s="186">
        <f t="shared" si="17"/>
        <v>1000000</v>
      </c>
      <c r="J144" s="186">
        <v>0</v>
      </c>
      <c r="K144" s="186">
        <v>803154.8</v>
      </c>
      <c r="L144" s="186">
        <f t="shared" si="16"/>
        <v>803154.8</v>
      </c>
      <c r="M144" s="186">
        <f t="shared" si="15"/>
        <v>80.31548000000001</v>
      </c>
      <c r="N144" s="184"/>
    </row>
    <row r="145" spans="1:14" ht="19.5" customHeight="1">
      <c r="A145" s="183">
        <v>4187</v>
      </c>
      <c r="B145" s="183">
        <v>2310</v>
      </c>
      <c r="C145" s="183">
        <v>6121</v>
      </c>
      <c r="D145" s="183">
        <v>143</v>
      </c>
      <c r="E145" s="184" t="s">
        <v>834</v>
      </c>
      <c r="F145" s="185">
        <v>2500</v>
      </c>
      <c r="G145" s="186">
        <v>581000</v>
      </c>
      <c r="H145" s="186"/>
      <c r="I145" s="186">
        <f t="shared" si="17"/>
        <v>581000</v>
      </c>
      <c r="J145" s="186">
        <v>0</v>
      </c>
      <c r="K145" s="186">
        <v>0</v>
      </c>
      <c r="L145" s="186">
        <f t="shared" si="16"/>
        <v>0</v>
      </c>
      <c r="M145" s="186">
        <f t="shared" si="15"/>
        <v>0</v>
      </c>
      <c r="N145" s="184"/>
    </row>
    <row r="146" spans="1:14" ht="19.5" customHeight="1">
      <c r="A146" s="183">
        <v>4333</v>
      </c>
      <c r="B146" s="183">
        <v>3631</v>
      </c>
      <c r="C146" s="183">
        <v>6121</v>
      </c>
      <c r="D146" s="183">
        <v>144</v>
      </c>
      <c r="E146" s="184" t="s">
        <v>835</v>
      </c>
      <c r="F146" s="185">
        <v>0</v>
      </c>
      <c r="G146" s="186">
        <v>1498500</v>
      </c>
      <c r="H146" s="186"/>
      <c r="I146" s="186">
        <f t="shared" si="17"/>
        <v>1498500</v>
      </c>
      <c r="J146" s="186">
        <v>0</v>
      </c>
      <c r="K146" s="186">
        <v>1497688</v>
      </c>
      <c r="L146" s="186">
        <f t="shared" si="16"/>
        <v>1497688</v>
      </c>
      <c r="M146" s="186">
        <f t="shared" si="15"/>
        <v>99.94581247914581</v>
      </c>
      <c r="N146" s="184"/>
    </row>
    <row r="147" spans="1:14" ht="19.5" customHeight="1">
      <c r="A147" s="183">
        <v>4195</v>
      </c>
      <c r="B147" s="183">
        <v>2212</v>
      </c>
      <c r="C147" s="183">
        <v>6121</v>
      </c>
      <c r="D147" s="183">
        <v>145</v>
      </c>
      <c r="E147" s="184" t="s">
        <v>836</v>
      </c>
      <c r="F147" s="185">
        <v>750</v>
      </c>
      <c r="G147" s="186">
        <v>2100000</v>
      </c>
      <c r="H147" s="186"/>
      <c r="I147" s="186">
        <f t="shared" si="17"/>
        <v>2100000</v>
      </c>
      <c r="J147" s="186">
        <v>0</v>
      </c>
      <c r="K147" s="186">
        <v>2059278</v>
      </c>
      <c r="L147" s="186">
        <f t="shared" si="16"/>
        <v>2059278</v>
      </c>
      <c r="M147" s="186">
        <f t="shared" si="15"/>
        <v>98.06085714285715</v>
      </c>
      <c r="N147" s="184"/>
    </row>
    <row r="148" spans="1:14" ht="19.5" customHeight="1">
      <c r="A148" s="183">
        <v>4493</v>
      </c>
      <c r="B148" s="183">
        <v>2212</v>
      </c>
      <c r="C148" s="183">
        <v>6121</v>
      </c>
      <c r="D148" s="183">
        <v>146</v>
      </c>
      <c r="E148" s="184" t="s">
        <v>837</v>
      </c>
      <c r="F148" s="185">
        <v>1900</v>
      </c>
      <c r="G148" s="186">
        <v>1900000</v>
      </c>
      <c r="H148" s="186"/>
      <c r="I148" s="186">
        <f t="shared" si="17"/>
        <v>1900000</v>
      </c>
      <c r="J148" s="186">
        <v>0</v>
      </c>
      <c r="K148" s="186">
        <v>1899991.5</v>
      </c>
      <c r="L148" s="186">
        <f t="shared" si="16"/>
        <v>1899991.5</v>
      </c>
      <c r="M148" s="186">
        <f t="shared" si="15"/>
        <v>99.99955263157895</v>
      </c>
      <c r="N148" s="184"/>
    </row>
    <row r="149" spans="1:14" ht="19.5" customHeight="1">
      <c r="A149" s="183">
        <v>4387</v>
      </c>
      <c r="B149" s="183">
        <v>6409</v>
      </c>
      <c r="C149" s="183">
        <v>6121</v>
      </c>
      <c r="D149" s="183">
        <v>147</v>
      </c>
      <c r="E149" s="184" t="s">
        <v>838</v>
      </c>
      <c r="F149" s="185">
        <v>4000</v>
      </c>
      <c r="G149" s="186">
        <v>1800000</v>
      </c>
      <c r="H149" s="186"/>
      <c r="I149" s="186">
        <f t="shared" si="17"/>
        <v>1800000</v>
      </c>
      <c r="J149" s="186">
        <v>0</v>
      </c>
      <c r="K149" s="186">
        <v>49677.7</v>
      </c>
      <c r="L149" s="186">
        <f t="shared" si="16"/>
        <v>49677.7</v>
      </c>
      <c r="M149" s="186">
        <f t="shared" si="15"/>
        <v>2.759872222222222</v>
      </c>
      <c r="N149" s="184"/>
    </row>
    <row r="150" spans="1:14" ht="19.5" customHeight="1">
      <c r="A150" s="183">
        <v>562</v>
      </c>
      <c r="B150" s="183">
        <v>2321</v>
      </c>
      <c r="C150" s="183">
        <v>6121</v>
      </c>
      <c r="D150" s="183">
        <v>148</v>
      </c>
      <c r="E150" s="184" t="s">
        <v>839</v>
      </c>
      <c r="F150" s="185">
        <v>1500</v>
      </c>
      <c r="G150" s="186">
        <v>1510000</v>
      </c>
      <c r="H150" s="186"/>
      <c r="I150" s="186">
        <v>1510000</v>
      </c>
      <c r="J150" s="186">
        <v>236618.5</v>
      </c>
      <c r="K150" s="186">
        <f>1253960.26+18077</f>
        <v>1272037.26</v>
      </c>
      <c r="L150" s="186">
        <f t="shared" si="16"/>
        <v>1508655.76</v>
      </c>
      <c r="M150" s="186">
        <f t="shared" si="15"/>
        <v>99.9109774834437</v>
      </c>
      <c r="N150" s="184"/>
    </row>
    <row r="151" spans="1:14" ht="19.5" customHeight="1">
      <c r="A151" s="183">
        <v>4506</v>
      </c>
      <c r="B151" s="183">
        <v>2219</v>
      </c>
      <c r="C151" s="183">
        <v>6121</v>
      </c>
      <c r="D151" s="183">
        <v>149</v>
      </c>
      <c r="E151" s="184" t="s">
        <v>840</v>
      </c>
      <c r="F151" s="185">
        <v>2000</v>
      </c>
      <c r="G151" s="186">
        <v>2292500</v>
      </c>
      <c r="H151" s="186"/>
      <c r="I151" s="186">
        <f aca="true" t="shared" si="18" ref="I151:I161">G151+H151</f>
        <v>2292500</v>
      </c>
      <c r="J151" s="186">
        <v>0</v>
      </c>
      <c r="K151" s="186">
        <v>2193774</v>
      </c>
      <c r="L151" s="186">
        <f t="shared" si="16"/>
        <v>2193774</v>
      </c>
      <c r="M151" s="186">
        <f aca="true" t="shared" si="19" ref="M151:M159">L151/I151*100</f>
        <v>95.69352235550708</v>
      </c>
      <c r="N151" s="184"/>
    </row>
    <row r="152" spans="1:14" ht="19.5" customHeight="1">
      <c r="A152" s="183">
        <v>4506</v>
      </c>
      <c r="B152" s="183">
        <v>2219</v>
      </c>
      <c r="C152" s="183">
        <v>6121</v>
      </c>
      <c r="D152" s="183">
        <v>150</v>
      </c>
      <c r="E152" s="184" t="s">
        <v>840</v>
      </c>
      <c r="F152" s="185">
        <v>0</v>
      </c>
      <c r="G152" s="186">
        <v>4000000</v>
      </c>
      <c r="H152" s="186"/>
      <c r="I152" s="186">
        <f t="shared" si="18"/>
        <v>4000000</v>
      </c>
      <c r="J152" s="186">
        <v>0</v>
      </c>
      <c r="K152" s="186">
        <v>3999987</v>
      </c>
      <c r="L152" s="186">
        <f t="shared" si="16"/>
        <v>3999987</v>
      </c>
      <c r="M152" s="186">
        <f t="shared" si="19"/>
        <v>99.999675</v>
      </c>
      <c r="N152" s="191" t="s">
        <v>841</v>
      </c>
    </row>
    <row r="153" spans="1:14" ht="19.5" customHeight="1">
      <c r="A153" s="183">
        <v>978</v>
      </c>
      <c r="B153" s="183">
        <v>2321</v>
      </c>
      <c r="C153" s="183">
        <v>6121</v>
      </c>
      <c r="D153" s="183">
        <v>151</v>
      </c>
      <c r="E153" s="184" t="s">
        <v>842</v>
      </c>
      <c r="F153" s="185">
        <v>75000</v>
      </c>
      <c r="G153" s="186">
        <v>163470830.7</v>
      </c>
      <c r="H153" s="186"/>
      <c r="I153" s="186">
        <f t="shared" si="18"/>
        <v>163470830.7</v>
      </c>
      <c r="J153" s="186">
        <v>26533223.25</v>
      </c>
      <c r="K153" s="186">
        <f>55962308.53+1705000</f>
        <v>57667308.53</v>
      </c>
      <c r="L153" s="186">
        <f t="shared" si="16"/>
        <v>84200531.78</v>
      </c>
      <c r="M153" s="186">
        <f t="shared" si="19"/>
        <v>51.50798550386274</v>
      </c>
      <c r="N153" s="191" t="s">
        <v>750</v>
      </c>
    </row>
    <row r="154" spans="1:14" ht="19.5" customHeight="1">
      <c r="A154" s="217">
        <v>978</v>
      </c>
      <c r="B154" s="217">
        <v>2321</v>
      </c>
      <c r="C154" s="217">
        <v>6121</v>
      </c>
      <c r="D154" s="183">
        <v>152</v>
      </c>
      <c r="E154" s="184" t="s">
        <v>842</v>
      </c>
      <c r="F154" s="218">
        <v>0</v>
      </c>
      <c r="G154" s="186">
        <v>0</v>
      </c>
      <c r="H154" s="219">
        <v>9874003.01</v>
      </c>
      <c r="I154" s="186">
        <f t="shared" si="18"/>
        <v>9874003.01</v>
      </c>
      <c r="J154" s="186">
        <v>0</v>
      </c>
      <c r="K154" s="186">
        <v>65542579.61</v>
      </c>
      <c r="L154" s="186">
        <f t="shared" si="16"/>
        <v>65542579.61</v>
      </c>
      <c r="M154" s="186">
        <f t="shared" si="19"/>
        <v>663.7893420087179</v>
      </c>
      <c r="N154" s="191" t="s">
        <v>843</v>
      </c>
    </row>
    <row r="155" spans="1:14" ht="19.5" customHeight="1">
      <c r="A155" s="217">
        <v>978</v>
      </c>
      <c r="B155" s="217">
        <v>2321</v>
      </c>
      <c r="C155" s="217">
        <v>6121</v>
      </c>
      <c r="D155" s="183">
        <v>153</v>
      </c>
      <c r="E155" s="184" t="s">
        <v>842</v>
      </c>
      <c r="F155" s="218">
        <v>0</v>
      </c>
      <c r="G155" s="186">
        <v>42967654.16</v>
      </c>
      <c r="H155" s="219"/>
      <c r="I155" s="186">
        <f t="shared" si="18"/>
        <v>42967654.16</v>
      </c>
      <c r="J155" s="186">
        <v>0</v>
      </c>
      <c r="K155" s="186">
        <v>42967654.16</v>
      </c>
      <c r="L155" s="186">
        <f t="shared" si="16"/>
        <v>42967654.16</v>
      </c>
      <c r="M155" s="186">
        <f t="shared" si="19"/>
        <v>100</v>
      </c>
      <c r="N155" s="191" t="s">
        <v>844</v>
      </c>
    </row>
    <row r="156" spans="1:14" ht="19.5" customHeight="1">
      <c r="A156" s="217">
        <v>978</v>
      </c>
      <c r="B156" s="217">
        <v>2321</v>
      </c>
      <c r="C156" s="217">
        <v>6121</v>
      </c>
      <c r="D156" s="183">
        <v>154</v>
      </c>
      <c r="E156" s="184" t="s">
        <v>842</v>
      </c>
      <c r="F156" s="218">
        <v>0</v>
      </c>
      <c r="G156" s="186">
        <v>3922645</v>
      </c>
      <c r="H156" s="219">
        <v>2712682</v>
      </c>
      <c r="I156" s="186">
        <f t="shared" si="18"/>
        <v>6635327</v>
      </c>
      <c r="J156" s="186">
        <v>0</v>
      </c>
      <c r="K156" s="186">
        <f>8412472-1705000</f>
        <v>6707472</v>
      </c>
      <c r="L156" s="186">
        <f t="shared" si="16"/>
        <v>6707472</v>
      </c>
      <c r="M156" s="186">
        <f t="shared" si="19"/>
        <v>101.0872862784306</v>
      </c>
      <c r="N156" s="191" t="s">
        <v>845</v>
      </c>
    </row>
    <row r="157" spans="1:14" ht="19.5" customHeight="1">
      <c r="A157" s="217">
        <v>9781</v>
      </c>
      <c r="B157" s="217">
        <v>2321</v>
      </c>
      <c r="C157" s="217">
        <v>6121</v>
      </c>
      <c r="D157" s="183">
        <v>155</v>
      </c>
      <c r="E157" s="184" t="s">
        <v>842</v>
      </c>
      <c r="F157" s="218">
        <v>0</v>
      </c>
      <c r="G157" s="186">
        <v>2962921</v>
      </c>
      <c r="H157" s="219">
        <v>2712682</v>
      </c>
      <c r="I157" s="186">
        <f t="shared" si="18"/>
        <v>5675603</v>
      </c>
      <c r="J157" s="186">
        <v>0</v>
      </c>
      <c r="K157" s="186">
        <v>7452748</v>
      </c>
      <c r="L157" s="186">
        <f t="shared" si="16"/>
        <v>7452748</v>
      </c>
      <c r="M157" s="186">
        <f t="shared" si="19"/>
        <v>131.3120033236997</v>
      </c>
      <c r="N157" s="191" t="s">
        <v>846</v>
      </c>
    </row>
    <row r="158" spans="1:14" ht="19.5" customHeight="1">
      <c r="A158" s="217">
        <v>4349</v>
      </c>
      <c r="B158" s="217">
        <v>2321</v>
      </c>
      <c r="C158" s="217">
        <v>6121</v>
      </c>
      <c r="D158" s="183">
        <v>156</v>
      </c>
      <c r="E158" s="222" t="s">
        <v>847</v>
      </c>
      <c r="F158" s="218">
        <v>0</v>
      </c>
      <c r="G158" s="186">
        <v>5000</v>
      </c>
      <c r="H158" s="219"/>
      <c r="I158" s="186">
        <f t="shared" si="18"/>
        <v>5000</v>
      </c>
      <c r="J158" s="186">
        <v>0</v>
      </c>
      <c r="K158" s="186">
        <v>0</v>
      </c>
      <c r="L158" s="186">
        <f t="shared" si="16"/>
        <v>0</v>
      </c>
      <c r="M158" s="186">
        <f t="shared" si="19"/>
        <v>0</v>
      </c>
      <c r="N158" s="191"/>
    </row>
    <row r="159" spans="1:14" ht="19.5" customHeight="1">
      <c r="A159" s="217">
        <v>4688</v>
      </c>
      <c r="B159" s="217">
        <v>2321</v>
      </c>
      <c r="C159" s="217">
        <v>6121</v>
      </c>
      <c r="D159" s="183">
        <v>157</v>
      </c>
      <c r="E159" s="222" t="s">
        <v>848</v>
      </c>
      <c r="F159" s="218">
        <v>0</v>
      </c>
      <c r="G159" s="186">
        <v>587000</v>
      </c>
      <c r="H159" s="219"/>
      <c r="I159" s="186">
        <f t="shared" si="18"/>
        <v>587000</v>
      </c>
      <c r="J159" s="186">
        <v>0</v>
      </c>
      <c r="K159" s="186">
        <v>0</v>
      </c>
      <c r="L159" s="186">
        <f aca="true" t="shared" si="20" ref="L159:L190">J159+K159</f>
        <v>0</v>
      </c>
      <c r="M159" s="186">
        <f t="shared" si="19"/>
        <v>0</v>
      </c>
      <c r="N159" s="191"/>
    </row>
    <row r="160" spans="1:14" ht="19.5" customHeight="1">
      <c r="A160" s="217">
        <v>4327</v>
      </c>
      <c r="B160" s="217">
        <v>6171</v>
      </c>
      <c r="C160" s="217">
        <v>6121</v>
      </c>
      <c r="D160" s="183">
        <v>158</v>
      </c>
      <c r="E160" s="222" t="s">
        <v>849</v>
      </c>
      <c r="F160" s="218">
        <v>11500</v>
      </c>
      <c r="G160" s="186">
        <v>0</v>
      </c>
      <c r="H160" s="219"/>
      <c r="I160" s="186">
        <f t="shared" si="18"/>
        <v>0</v>
      </c>
      <c r="J160" s="186">
        <v>0</v>
      </c>
      <c r="K160" s="186">
        <v>0</v>
      </c>
      <c r="L160" s="186">
        <f t="shared" si="20"/>
        <v>0</v>
      </c>
      <c r="M160" s="186">
        <v>0</v>
      </c>
      <c r="N160" s="184"/>
    </row>
    <row r="161" spans="1:14" ht="19.5" customHeight="1">
      <c r="A161" s="183">
        <v>4326</v>
      </c>
      <c r="B161" s="183">
        <v>2221</v>
      </c>
      <c r="C161" s="183">
        <v>6121</v>
      </c>
      <c r="D161" s="183">
        <v>159</v>
      </c>
      <c r="E161" s="184" t="s">
        <v>850</v>
      </c>
      <c r="F161" s="185">
        <v>212300</v>
      </c>
      <c r="G161" s="186">
        <v>7216775</v>
      </c>
      <c r="H161" s="186"/>
      <c r="I161" s="186">
        <f t="shared" si="18"/>
        <v>7216775</v>
      </c>
      <c r="J161" s="186">
        <v>0</v>
      </c>
      <c r="K161" s="186">
        <v>6000</v>
      </c>
      <c r="L161" s="186">
        <f t="shared" si="20"/>
        <v>6000</v>
      </c>
      <c r="M161" s="186">
        <f>L161/I161*100</f>
        <v>0.08313962954366735</v>
      </c>
      <c r="N161" s="184"/>
    </row>
    <row r="162" spans="1:14" ht="19.5" customHeight="1">
      <c r="A162" s="183">
        <v>4326</v>
      </c>
      <c r="B162" s="183">
        <v>2221</v>
      </c>
      <c r="C162" s="183">
        <v>6121</v>
      </c>
      <c r="D162" s="183">
        <v>160</v>
      </c>
      <c r="E162" s="184" t="s">
        <v>850</v>
      </c>
      <c r="F162" s="185">
        <v>0</v>
      </c>
      <c r="G162" s="186"/>
      <c r="H162" s="186"/>
      <c r="I162" s="186">
        <v>0</v>
      </c>
      <c r="J162" s="186">
        <v>0</v>
      </c>
      <c r="K162" s="186">
        <v>7047937</v>
      </c>
      <c r="L162" s="186">
        <f t="shared" si="20"/>
        <v>7047937</v>
      </c>
      <c r="M162" s="186">
        <v>0</v>
      </c>
      <c r="N162" s="191" t="s">
        <v>851</v>
      </c>
    </row>
    <row r="163" spans="1:14" ht="19.5" customHeight="1">
      <c r="A163" s="183">
        <v>4362</v>
      </c>
      <c r="B163" s="183">
        <v>2219</v>
      </c>
      <c r="C163" s="183">
        <v>6121</v>
      </c>
      <c r="D163" s="183">
        <v>161</v>
      </c>
      <c r="E163" s="184" t="s">
        <v>852</v>
      </c>
      <c r="F163" s="185">
        <v>500</v>
      </c>
      <c r="G163" s="186">
        <v>226000</v>
      </c>
      <c r="H163" s="186"/>
      <c r="I163" s="186">
        <f aca="true" t="shared" si="21" ref="I163:I210">G163+H163</f>
        <v>226000</v>
      </c>
      <c r="J163" s="186">
        <v>0</v>
      </c>
      <c r="K163" s="186">
        <v>221224</v>
      </c>
      <c r="L163" s="186">
        <f t="shared" si="20"/>
        <v>221224</v>
      </c>
      <c r="M163" s="186">
        <f>L163/I163*100</f>
        <v>97.88672566371682</v>
      </c>
      <c r="N163" s="184"/>
    </row>
    <row r="164" spans="1:14" ht="19.5" customHeight="1">
      <c r="A164" s="183">
        <v>4602</v>
      </c>
      <c r="B164" s="183">
        <v>2212</v>
      </c>
      <c r="C164" s="183">
        <v>6121</v>
      </c>
      <c r="D164" s="183">
        <v>162</v>
      </c>
      <c r="E164" s="184" t="s">
        <v>853</v>
      </c>
      <c r="F164" s="201">
        <v>0</v>
      </c>
      <c r="G164" s="186">
        <v>16200</v>
      </c>
      <c r="H164" s="202"/>
      <c r="I164" s="186">
        <f t="shared" si="21"/>
        <v>16200</v>
      </c>
      <c r="J164" s="186">
        <v>0</v>
      </c>
      <c r="K164" s="186">
        <v>16184</v>
      </c>
      <c r="L164" s="186">
        <f t="shared" si="20"/>
        <v>16184</v>
      </c>
      <c r="M164" s="186">
        <f>L164/I164*100</f>
        <v>99.90123456790123</v>
      </c>
      <c r="N164" s="184"/>
    </row>
    <row r="165" spans="1:14" s="200" customFormat="1" ht="19.5" customHeight="1">
      <c r="A165" s="196">
        <v>4577</v>
      </c>
      <c r="B165" s="196">
        <v>3792</v>
      </c>
      <c r="C165" s="196">
        <v>6121</v>
      </c>
      <c r="D165" s="183">
        <v>163</v>
      </c>
      <c r="E165" s="197" t="s">
        <v>854</v>
      </c>
      <c r="F165" s="225">
        <v>6500</v>
      </c>
      <c r="G165" s="186">
        <v>978000</v>
      </c>
      <c r="H165" s="204"/>
      <c r="I165" s="186">
        <f t="shared" si="21"/>
        <v>978000</v>
      </c>
      <c r="J165" s="186">
        <v>0</v>
      </c>
      <c r="K165" s="186">
        <v>7346</v>
      </c>
      <c r="L165" s="186">
        <f t="shared" si="20"/>
        <v>7346</v>
      </c>
      <c r="M165" s="186">
        <f>L165/I165*100</f>
        <v>0.7511247443762781</v>
      </c>
      <c r="N165" s="187"/>
    </row>
    <row r="166" spans="1:14" s="200" customFormat="1" ht="19.5" customHeight="1">
      <c r="A166" s="196">
        <v>4635</v>
      </c>
      <c r="B166" s="196">
        <v>2321</v>
      </c>
      <c r="C166" s="196">
        <v>6121</v>
      </c>
      <c r="D166" s="183">
        <v>164</v>
      </c>
      <c r="E166" s="197" t="s">
        <v>855</v>
      </c>
      <c r="F166" s="225">
        <v>0</v>
      </c>
      <c r="G166" s="186">
        <v>600000</v>
      </c>
      <c r="H166" s="204"/>
      <c r="I166" s="186">
        <f t="shared" si="21"/>
        <v>600000</v>
      </c>
      <c r="J166" s="186">
        <v>0</v>
      </c>
      <c r="K166" s="186">
        <v>597720</v>
      </c>
      <c r="L166" s="186">
        <f t="shared" si="20"/>
        <v>597720</v>
      </c>
      <c r="M166" s="186">
        <v>0</v>
      </c>
      <c r="N166" s="187"/>
    </row>
    <row r="167" spans="1:14" ht="19.5" customHeight="1">
      <c r="A167" s="183">
        <v>4533</v>
      </c>
      <c r="B167" s="183">
        <v>3429</v>
      </c>
      <c r="C167" s="183">
        <v>6121</v>
      </c>
      <c r="D167" s="183">
        <v>165</v>
      </c>
      <c r="E167" s="184" t="s">
        <v>856</v>
      </c>
      <c r="F167" s="185">
        <v>1500</v>
      </c>
      <c r="G167" s="186">
        <v>0</v>
      </c>
      <c r="H167" s="186"/>
      <c r="I167" s="186">
        <f t="shared" si="21"/>
        <v>0</v>
      </c>
      <c r="J167" s="186">
        <v>0</v>
      </c>
      <c r="K167" s="186">
        <v>0</v>
      </c>
      <c r="L167" s="186">
        <f t="shared" si="20"/>
        <v>0</v>
      </c>
      <c r="M167" s="186">
        <v>0</v>
      </c>
      <c r="N167" s="184"/>
    </row>
    <row r="168" spans="1:14" ht="19.5" customHeight="1">
      <c r="A168" s="183">
        <v>4457</v>
      </c>
      <c r="B168" s="183">
        <v>2212</v>
      </c>
      <c r="C168" s="183">
        <v>6121</v>
      </c>
      <c r="D168" s="183">
        <v>166</v>
      </c>
      <c r="E168" s="184" t="s">
        <v>857</v>
      </c>
      <c r="F168" s="185">
        <v>2300</v>
      </c>
      <c r="G168" s="186">
        <v>520000</v>
      </c>
      <c r="H168" s="186"/>
      <c r="I168" s="186">
        <f t="shared" si="21"/>
        <v>520000</v>
      </c>
      <c r="J168" s="186">
        <v>0</v>
      </c>
      <c r="K168" s="186">
        <v>514348</v>
      </c>
      <c r="L168" s="186">
        <f t="shared" si="20"/>
        <v>514348</v>
      </c>
      <c r="M168" s="186">
        <f aca="true" t="shared" si="22" ref="M168:M198">L168/I168*100</f>
        <v>98.91307692307693</v>
      </c>
      <c r="N168" s="184"/>
    </row>
    <row r="169" spans="1:14" ht="19.5" customHeight="1">
      <c r="A169" s="183">
        <v>1143</v>
      </c>
      <c r="B169" s="183">
        <v>3792</v>
      </c>
      <c r="C169" s="183">
        <v>6121</v>
      </c>
      <c r="D169" s="183">
        <v>167</v>
      </c>
      <c r="E169" s="184" t="s">
        <v>858</v>
      </c>
      <c r="F169" s="185">
        <v>20500</v>
      </c>
      <c r="G169" s="186">
        <v>25920703</v>
      </c>
      <c r="H169" s="186"/>
      <c r="I169" s="186">
        <f t="shared" si="21"/>
        <v>25920703</v>
      </c>
      <c r="J169" s="186">
        <v>0</v>
      </c>
      <c r="K169" s="186">
        <v>20874356.5</v>
      </c>
      <c r="L169" s="186">
        <f t="shared" si="20"/>
        <v>20874356.5</v>
      </c>
      <c r="M169" s="186">
        <f t="shared" si="22"/>
        <v>80.53159862215156</v>
      </c>
      <c r="N169" s="191" t="s">
        <v>750</v>
      </c>
    </row>
    <row r="170" spans="1:14" ht="19.5" customHeight="1">
      <c r="A170" s="183">
        <v>1143</v>
      </c>
      <c r="B170" s="183">
        <v>3792</v>
      </c>
      <c r="C170" s="183">
        <v>6121</v>
      </c>
      <c r="D170" s="183">
        <v>168</v>
      </c>
      <c r="E170" s="184" t="s">
        <v>858</v>
      </c>
      <c r="F170" s="185">
        <v>0</v>
      </c>
      <c r="G170" s="186">
        <v>26532723</v>
      </c>
      <c r="H170" s="186"/>
      <c r="I170" s="186">
        <f t="shared" si="21"/>
        <v>26532723</v>
      </c>
      <c r="J170" s="186">
        <v>0</v>
      </c>
      <c r="K170" s="186">
        <v>26532723</v>
      </c>
      <c r="L170" s="186">
        <f t="shared" si="20"/>
        <v>26532723</v>
      </c>
      <c r="M170" s="186">
        <f t="shared" si="22"/>
        <v>100</v>
      </c>
      <c r="N170" s="191" t="s">
        <v>859</v>
      </c>
    </row>
    <row r="171" spans="1:14" ht="19.5" customHeight="1">
      <c r="A171" s="183">
        <v>4529</v>
      </c>
      <c r="B171" s="183">
        <v>2212</v>
      </c>
      <c r="C171" s="183">
        <v>6121</v>
      </c>
      <c r="D171" s="183">
        <v>169</v>
      </c>
      <c r="E171" s="184" t="s">
        <v>860</v>
      </c>
      <c r="F171" s="185">
        <v>600</v>
      </c>
      <c r="G171" s="186">
        <v>200000</v>
      </c>
      <c r="H171" s="186"/>
      <c r="I171" s="186">
        <f t="shared" si="21"/>
        <v>200000</v>
      </c>
      <c r="J171" s="186">
        <v>0</v>
      </c>
      <c r="K171" s="186">
        <v>178075</v>
      </c>
      <c r="L171" s="186">
        <f t="shared" si="20"/>
        <v>178075</v>
      </c>
      <c r="M171" s="186">
        <f t="shared" si="22"/>
        <v>89.03750000000001</v>
      </c>
      <c r="N171" s="184"/>
    </row>
    <row r="172" spans="1:14" ht="19.5" customHeight="1">
      <c r="A172" s="183">
        <v>4608</v>
      </c>
      <c r="B172" s="183">
        <v>2219</v>
      </c>
      <c r="C172" s="183">
        <v>6121</v>
      </c>
      <c r="D172" s="183">
        <v>170</v>
      </c>
      <c r="E172" s="184" t="s">
        <v>861</v>
      </c>
      <c r="F172" s="185">
        <v>0</v>
      </c>
      <c r="G172" s="186">
        <v>40000</v>
      </c>
      <c r="H172" s="186"/>
      <c r="I172" s="186">
        <f t="shared" si="21"/>
        <v>40000</v>
      </c>
      <c r="J172" s="186">
        <v>0</v>
      </c>
      <c r="K172" s="186">
        <v>39841</v>
      </c>
      <c r="L172" s="186">
        <f t="shared" si="20"/>
        <v>39841</v>
      </c>
      <c r="M172" s="186">
        <f t="shared" si="22"/>
        <v>99.6025</v>
      </c>
      <c r="N172" s="184"/>
    </row>
    <row r="173" spans="1:14" ht="19.5" customHeight="1">
      <c r="A173" s="183">
        <v>4612</v>
      </c>
      <c r="B173" s="183">
        <v>2219</v>
      </c>
      <c r="C173" s="183">
        <v>6121</v>
      </c>
      <c r="D173" s="183">
        <v>171</v>
      </c>
      <c r="E173" s="184" t="s">
        <v>862</v>
      </c>
      <c r="F173" s="185">
        <v>0</v>
      </c>
      <c r="G173" s="186">
        <v>205000</v>
      </c>
      <c r="H173" s="186"/>
      <c r="I173" s="186">
        <f t="shared" si="21"/>
        <v>205000</v>
      </c>
      <c r="J173" s="186">
        <v>0</v>
      </c>
      <c r="K173" s="186">
        <v>203783.5</v>
      </c>
      <c r="L173" s="186">
        <f t="shared" si="20"/>
        <v>203783.5</v>
      </c>
      <c r="M173" s="186">
        <f t="shared" si="22"/>
        <v>99.40658536585366</v>
      </c>
      <c r="N173" s="184"/>
    </row>
    <row r="174" spans="1:14" ht="19.5" customHeight="1">
      <c r="A174" s="183">
        <v>4496</v>
      </c>
      <c r="B174" s="183">
        <v>2219</v>
      </c>
      <c r="C174" s="183">
        <v>6121</v>
      </c>
      <c r="D174" s="183">
        <v>172</v>
      </c>
      <c r="E174" s="184" t="s">
        <v>863</v>
      </c>
      <c r="F174" s="185">
        <v>0</v>
      </c>
      <c r="G174" s="186">
        <v>1116000</v>
      </c>
      <c r="H174" s="186"/>
      <c r="I174" s="186">
        <f t="shared" si="21"/>
        <v>1116000</v>
      </c>
      <c r="J174" s="186">
        <v>0</v>
      </c>
      <c r="K174" s="186">
        <v>1089555</v>
      </c>
      <c r="L174" s="186">
        <f t="shared" si="20"/>
        <v>1089555</v>
      </c>
      <c r="M174" s="186">
        <f t="shared" si="22"/>
        <v>97.63037634408602</v>
      </c>
      <c r="N174" s="184"/>
    </row>
    <row r="175" spans="1:14" ht="19.5" customHeight="1">
      <c r="A175" s="183">
        <v>4597</v>
      </c>
      <c r="B175" s="183">
        <v>3341</v>
      </c>
      <c r="C175" s="183">
        <v>6121</v>
      </c>
      <c r="D175" s="183">
        <v>173</v>
      </c>
      <c r="E175" s="184" t="s">
        <v>864</v>
      </c>
      <c r="F175" s="194">
        <v>0</v>
      </c>
      <c r="G175" s="186">
        <v>48000</v>
      </c>
      <c r="H175" s="195"/>
      <c r="I175" s="186">
        <f t="shared" si="21"/>
        <v>48000</v>
      </c>
      <c r="J175" s="186">
        <v>0</v>
      </c>
      <c r="K175" s="186">
        <v>48000</v>
      </c>
      <c r="L175" s="186">
        <f t="shared" si="20"/>
        <v>48000</v>
      </c>
      <c r="M175" s="186">
        <f t="shared" si="22"/>
        <v>100</v>
      </c>
      <c r="N175" s="184"/>
    </row>
    <row r="176" spans="1:14" ht="19.5" customHeight="1">
      <c r="A176" s="183">
        <v>4611</v>
      </c>
      <c r="B176" s="183">
        <v>2219</v>
      </c>
      <c r="C176" s="183">
        <v>6121</v>
      </c>
      <c r="D176" s="183">
        <v>174</v>
      </c>
      <c r="E176" s="184" t="s">
        <v>865</v>
      </c>
      <c r="F176" s="194">
        <v>0</v>
      </c>
      <c r="G176" s="186">
        <v>245000</v>
      </c>
      <c r="H176" s="195"/>
      <c r="I176" s="186">
        <f t="shared" si="21"/>
        <v>245000</v>
      </c>
      <c r="J176" s="186">
        <v>0</v>
      </c>
      <c r="K176" s="186">
        <v>0</v>
      </c>
      <c r="L176" s="186">
        <f t="shared" si="20"/>
        <v>0</v>
      </c>
      <c r="M176" s="186">
        <f t="shared" si="22"/>
        <v>0</v>
      </c>
      <c r="N176" s="184"/>
    </row>
    <row r="177" spans="1:14" ht="19.5" customHeight="1">
      <c r="A177" s="183">
        <v>4306</v>
      </c>
      <c r="B177" s="183">
        <v>2219</v>
      </c>
      <c r="C177" s="183">
        <v>6121</v>
      </c>
      <c r="D177" s="183">
        <v>175</v>
      </c>
      <c r="E177" s="184" t="s">
        <v>866</v>
      </c>
      <c r="F177" s="185">
        <v>0</v>
      </c>
      <c r="G177" s="186">
        <v>11000</v>
      </c>
      <c r="H177" s="186"/>
      <c r="I177" s="186">
        <f t="shared" si="21"/>
        <v>11000</v>
      </c>
      <c r="J177" s="186">
        <v>0</v>
      </c>
      <c r="K177" s="186">
        <v>10067.4</v>
      </c>
      <c r="L177" s="186">
        <f t="shared" si="20"/>
        <v>10067.4</v>
      </c>
      <c r="M177" s="186">
        <f t="shared" si="22"/>
        <v>91.52181818181818</v>
      </c>
      <c r="N177" s="184"/>
    </row>
    <row r="178" spans="1:14" ht="19.5" customHeight="1">
      <c r="A178" s="183">
        <v>4308</v>
      </c>
      <c r="B178" s="183">
        <v>2219</v>
      </c>
      <c r="C178" s="183">
        <v>6121</v>
      </c>
      <c r="D178" s="183">
        <v>176</v>
      </c>
      <c r="E178" s="184" t="s">
        <v>867</v>
      </c>
      <c r="F178" s="185">
        <v>0</v>
      </c>
      <c r="G178" s="186">
        <v>800000</v>
      </c>
      <c r="H178" s="186"/>
      <c r="I178" s="186">
        <f t="shared" si="21"/>
        <v>800000</v>
      </c>
      <c r="J178" s="186">
        <v>0</v>
      </c>
      <c r="K178" s="186">
        <v>697402.88</v>
      </c>
      <c r="L178" s="186">
        <f t="shared" si="20"/>
        <v>697402.88</v>
      </c>
      <c r="M178" s="186">
        <f t="shared" si="22"/>
        <v>87.17536</v>
      </c>
      <c r="N178" s="184"/>
    </row>
    <row r="179" spans="1:14" ht="19.5" customHeight="1">
      <c r="A179" s="183">
        <v>4308</v>
      </c>
      <c r="B179" s="183">
        <v>2219</v>
      </c>
      <c r="C179" s="183">
        <v>6121</v>
      </c>
      <c r="D179" s="183">
        <v>177</v>
      </c>
      <c r="E179" s="184" t="s">
        <v>867</v>
      </c>
      <c r="F179" s="185">
        <v>0</v>
      </c>
      <c r="G179" s="186">
        <v>80000</v>
      </c>
      <c r="H179" s="186"/>
      <c r="I179" s="186">
        <f t="shared" si="21"/>
        <v>80000</v>
      </c>
      <c r="J179" s="186">
        <v>0</v>
      </c>
      <c r="K179" s="186">
        <v>80000</v>
      </c>
      <c r="L179" s="186">
        <f t="shared" si="20"/>
        <v>80000</v>
      </c>
      <c r="M179" s="186">
        <f t="shared" si="22"/>
        <v>100</v>
      </c>
      <c r="N179" s="191" t="s">
        <v>792</v>
      </c>
    </row>
    <row r="180" spans="1:14" ht="19.5" customHeight="1">
      <c r="A180" s="183">
        <v>4453</v>
      </c>
      <c r="B180" s="183">
        <v>2321</v>
      </c>
      <c r="C180" s="183">
        <v>6121</v>
      </c>
      <c r="D180" s="183">
        <v>178</v>
      </c>
      <c r="E180" s="184" t="s">
        <v>868</v>
      </c>
      <c r="F180" s="185">
        <v>375</v>
      </c>
      <c r="G180" s="186">
        <v>375000</v>
      </c>
      <c r="H180" s="186"/>
      <c r="I180" s="186">
        <f t="shared" si="21"/>
        <v>375000</v>
      </c>
      <c r="J180" s="186">
        <v>58938</v>
      </c>
      <c r="K180" s="186">
        <v>310200</v>
      </c>
      <c r="L180" s="186">
        <f t="shared" si="20"/>
        <v>369138</v>
      </c>
      <c r="M180" s="186">
        <f t="shared" si="22"/>
        <v>98.4368</v>
      </c>
      <c r="N180" s="184"/>
    </row>
    <row r="181" spans="1:14" ht="19.5" customHeight="1">
      <c r="A181" s="183">
        <v>4471</v>
      </c>
      <c r="B181" s="183">
        <v>2310</v>
      </c>
      <c r="C181" s="183">
        <v>6121</v>
      </c>
      <c r="D181" s="183">
        <v>179</v>
      </c>
      <c r="E181" s="184" t="s">
        <v>869</v>
      </c>
      <c r="F181" s="185">
        <v>550</v>
      </c>
      <c r="G181" s="186">
        <v>550000</v>
      </c>
      <c r="H181" s="186"/>
      <c r="I181" s="186">
        <f t="shared" si="21"/>
        <v>550000</v>
      </c>
      <c r="J181" s="186">
        <v>81947.1</v>
      </c>
      <c r="K181" s="186">
        <v>431300</v>
      </c>
      <c r="L181" s="186">
        <f t="shared" si="20"/>
        <v>513247.1</v>
      </c>
      <c r="M181" s="186">
        <f t="shared" si="22"/>
        <v>93.31765454545454</v>
      </c>
      <c r="N181" s="184"/>
    </row>
    <row r="182" spans="1:14" ht="19.5" customHeight="1">
      <c r="A182" s="183">
        <v>4538</v>
      </c>
      <c r="B182" s="183">
        <v>2219</v>
      </c>
      <c r="C182" s="183">
        <v>6121</v>
      </c>
      <c r="D182" s="183">
        <v>180</v>
      </c>
      <c r="E182" s="184" t="s">
        <v>870</v>
      </c>
      <c r="F182" s="185">
        <v>100</v>
      </c>
      <c r="G182" s="186">
        <v>100000</v>
      </c>
      <c r="H182" s="186"/>
      <c r="I182" s="186">
        <f t="shared" si="21"/>
        <v>100000</v>
      </c>
      <c r="J182" s="186">
        <v>0</v>
      </c>
      <c r="K182" s="186">
        <v>0</v>
      </c>
      <c r="L182" s="186">
        <f t="shared" si="20"/>
        <v>0</v>
      </c>
      <c r="M182" s="186">
        <f t="shared" si="22"/>
        <v>0</v>
      </c>
      <c r="N182" s="184"/>
    </row>
    <row r="183" spans="1:14" ht="19.5" customHeight="1">
      <c r="A183" s="183">
        <v>657</v>
      </c>
      <c r="B183" s="183">
        <v>2212</v>
      </c>
      <c r="C183" s="183">
        <v>6121</v>
      </c>
      <c r="D183" s="183">
        <v>181</v>
      </c>
      <c r="E183" s="184" t="s">
        <v>871</v>
      </c>
      <c r="F183" s="185">
        <v>0</v>
      </c>
      <c r="G183" s="186">
        <v>12500</v>
      </c>
      <c r="H183" s="186"/>
      <c r="I183" s="186">
        <f t="shared" si="21"/>
        <v>12500</v>
      </c>
      <c r="J183" s="186">
        <v>0</v>
      </c>
      <c r="K183" s="186">
        <v>11900</v>
      </c>
      <c r="L183" s="186">
        <f t="shared" si="20"/>
        <v>11900</v>
      </c>
      <c r="M183" s="186">
        <f t="shared" si="22"/>
        <v>95.19999999999999</v>
      </c>
      <c r="N183" s="184"/>
    </row>
    <row r="184" spans="1:14" ht="19.5" customHeight="1">
      <c r="A184" s="183">
        <v>4365</v>
      </c>
      <c r="B184" s="183">
        <v>2219</v>
      </c>
      <c r="C184" s="183">
        <v>6121</v>
      </c>
      <c r="D184" s="183">
        <v>182</v>
      </c>
      <c r="E184" s="184" t="s">
        <v>872</v>
      </c>
      <c r="F184" s="185">
        <v>0</v>
      </c>
      <c r="G184" s="186">
        <v>282000</v>
      </c>
      <c r="H184" s="186"/>
      <c r="I184" s="186">
        <f t="shared" si="21"/>
        <v>282000</v>
      </c>
      <c r="J184" s="186">
        <v>0</v>
      </c>
      <c r="K184" s="186">
        <v>1300</v>
      </c>
      <c r="L184" s="186">
        <f t="shared" si="20"/>
        <v>1300</v>
      </c>
      <c r="M184" s="186">
        <f t="shared" si="22"/>
        <v>0.46099290780141844</v>
      </c>
      <c r="N184" s="184"/>
    </row>
    <row r="185" spans="1:14" ht="19.5" customHeight="1">
      <c r="A185" s="183">
        <v>4523</v>
      </c>
      <c r="B185" s="183">
        <v>2212</v>
      </c>
      <c r="C185" s="183">
        <v>6121</v>
      </c>
      <c r="D185" s="183">
        <v>183</v>
      </c>
      <c r="E185" s="184" t="s">
        <v>873</v>
      </c>
      <c r="F185" s="185">
        <v>350</v>
      </c>
      <c r="G185" s="186">
        <v>430000</v>
      </c>
      <c r="H185" s="186"/>
      <c r="I185" s="186">
        <f t="shared" si="21"/>
        <v>430000</v>
      </c>
      <c r="J185" s="186">
        <v>0</v>
      </c>
      <c r="K185" s="186">
        <v>425639.4</v>
      </c>
      <c r="L185" s="186">
        <f t="shared" si="20"/>
        <v>425639.4</v>
      </c>
      <c r="M185" s="186">
        <f t="shared" si="22"/>
        <v>98.98590697674419</v>
      </c>
      <c r="N185" s="184"/>
    </row>
    <row r="186" spans="1:14" ht="19.5" customHeight="1">
      <c r="A186" s="183">
        <v>4367</v>
      </c>
      <c r="B186" s="183">
        <v>2219</v>
      </c>
      <c r="C186" s="183">
        <v>6121</v>
      </c>
      <c r="D186" s="183">
        <v>184</v>
      </c>
      <c r="E186" s="184" t="s">
        <v>874</v>
      </c>
      <c r="F186" s="185">
        <v>0</v>
      </c>
      <c r="G186" s="186">
        <v>402000</v>
      </c>
      <c r="H186" s="186"/>
      <c r="I186" s="186">
        <f t="shared" si="21"/>
        <v>402000</v>
      </c>
      <c r="J186" s="186">
        <v>0</v>
      </c>
      <c r="K186" s="186">
        <v>0</v>
      </c>
      <c r="L186" s="186">
        <f t="shared" si="20"/>
        <v>0</v>
      </c>
      <c r="M186" s="186">
        <f t="shared" si="22"/>
        <v>0</v>
      </c>
      <c r="N186" s="184"/>
    </row>
    <row r="187" spans="1:14" ht="19.5" customHeight="1">
      <c r="A187" s="183">
        <v>4458</v>
      </c>
      <c r="B187" s="183">
        <v>2212</v>
      </c>
      <c r="C187" s="183">
        <v>6121</v>
      </c>
      <c r="D187" s="183">
        <v>185</v>
      </c>
      <c r="E187" s="184" t="s">
        <v>875</v>
      </c>
      <c r="F187" s="185">
        <v>250</v>
      </c>
      <c r="G187" s="186">
        <v>250000</v>
      </c>
      <c r="H187" s="186"/>
      <c r="I187" s="186">
        <f t="shared" si="21"/>
        <v>250000</v>
      </c>
      <c r="J187" s="186">
        <v>0</v>
      </c>
      <c r="K187" s="186">
        <v>0</v>
      </c>
      <c r="L187" s="186">
        <f t="shared" si="20"/>
        <v>0</v>
      </c>
      <c r="M187" s="186">
        <f t="shared" si="22"/>
        <v>0</v>
      </c>
      <c r="N187" s="184"/>
    </row>
    <row r="188" spans="1:14" ht="19.5" customHeight="1">
      <c r="A188" s="183">
        <v>1127</v>
      </c>
      <c r="B188" s="183">
        <v>2212</v>
      </c>
      <c r="C188" s="183">
        <v>6121</v>
      </c>
      <c r="D188" s="183">
        <v>186</v>
      </c>
      <c r="E188" s="184" t="s">
        <v>876</v>
      </c>
      <c r="F188" s="201">
        <v>0</v>
      </c>
      <c r="G188" s="186">
        <v>3000</v>
      </c>
      <c r="H188" s="202"/>
      <c r="I188" s="186">
        <f t="shared" si="21"/>
        <v>3000</v>
      </c>
      <c r="J188" s="186">
        <v>0</v>
      </c>
      <c r="K188" s="186">
        <v>500</v>
      </c>
      <c r="L188" s="186">
        <f t="shared" si="20"/>
        <v>500</v>
      </c>
      <c r="M188" s="186">
        <f t="shared" si="22"/>
        <v>16.666666666666664</v>
      </c>
      <c r="N188" s="184"/>
    </row>
    <row r="189" spans="1:14" ht="19.5" customHeight="1">
      <c r="A189" s="183">
        <v>4522</v>
      </c>
      <c r="B189" s="183">
        <v>2212</v>
      </c>
      <c r="C189" s="183">
        <v>6121</v>
      </c>
      <c r="D189" s="183">
        <v>187</v>
      </c>
      <c r="E189" s="184" t="s">
        <v>877</v>
      </c>
      <c r="F189" s="185">
        <v>200</v>
      </c>
      <c r="G189" s="186">
        <v>200000</v>
      </c>
      <c r="H189" s="186"/>
      <c r="I189" s="186">
        <f t="shared" si="21"/>
        <v>200000</v>
      </c>
      <c r="J189" s="186">
        <v>0</v>
      </c>
      <c r="K189" s="186">
        <v>189567</v>
      </c>
      <c r="L189" s="186">
        <f t="shared" si="20"/>
        <v>189567</v>
      </c>
      <c r="M189" s="186">
        <f t="shared" si="22"/>
        <v>94.7835</v>
      </c>
      <c r="N189" s="184"/>
    </row>
    <row r="190" spans="1:14" ht="19.5" customHeight="1">
      <c r="A190" s="183">
        <v>4695</v>
      </c>
      <c r="B190" s="183">
        <v>2212</v>
      </c>
      <c r="C190" s="183">
        <v>6121</v>
      </c>
      <c r="D190" s="183">
        <v>188</v>
      </c>
      <c r="E190" s="184" t="s">
        <v>878</v>
      </c>
      <c r="F190" s="185">
        <v>0</v>
      </c>
      <c r="G190" s="186">
        <v>310000</v>
      </c>
      <c r="H190" s="186"/>
      <c r="I190" s="186">
        <f t="shared" si="21"/>
        <v>310000</v>
      </c>
      <c r="J190" s="186">
        <v>0</v>
      </c>
      <c r="K190" s="186">
        <v>309026</v>
      </c>
      <c r="L190" s="186">
        <f t="shared" si="20"/>
        <v>309026</v>
      </c>
      <c r="M190" s="186">
        <f t="shared" si="22"/>
        <v>99.6858064516129</v>
      </c>
      <c r="N190" s="184"/>
    </row>
    <row r="191" spans="1:14" ht="19.5" customHeight="1">
      <c r="A191" s="183">
        <v>4595</v>
      </c>
      <c r="B191" s="183">
        <v>3631</v>
      </c>
      <c r="C191" s="183">
        <v>6121</v>
      </c>
      <c r="D191" s="183">
        <v>189</v>
      </c>
      <c r="E191" s="184" t="s">
        <v>879</v>
      </c>
      <c r="F191" s="185">
        <v>0</v>
      </c>
      <c r="G191" s="186">
        <v>21000</v>
      </c>
      <c r="H191" s="186"/>
      <c r="I191" s="186">
        <f t="shared" si="21"/>
        <v>21000</v>
      </c>
      <c r="J191" s="186">
        <v>0</v>
      </c>
      <c r="K191" s="186">
        <v>20468</v>
      </c>
      <c r="L191" s="186">
        <f aca="true" t="shared" si="23" ref="L191:L222">J191+K191</f>
        <v>20468</v>
      </c>
      <c r="M191" s="186">
        <f t="shared" si="22"/>
        <v>97.46666666666667</v>
      </c>
      <c r="N191" s="184"/>
    </row>
    <row r="192" spans="1:14" ht="19.5" customHeight="1">
      <c r="A192" s="183">
        <v>4620</v>
      </c>
      <c r="B192" s="183">
        <v>2212</v>
      </c>
      <c r="C192" s="183">
        <v>6121</v>
      </c>
      <c r="D192" s="183">
        <v>190</v>
      </c>
      <c r="E192" s="184" t="s">
        <v>880</v>
      </c>
      <c r="F192" s="185">
        <v>0</v>
      </c>
      <c r="G192" s="186">
        <v>240000</v>
      </c>
      <c r="H192" s="186"/>
      <c r="I192" s="186">
        <f t="shared" si="21"/>
        <v>240000</v>
      </c>
      <c r="J192" s="186">
        <v>0</v>
      </c>
      <c r="K192" s="186">
        <v>191828</v>
      </c>
      <c r="L192" s="186">
        <f t="shared" si="23"/>
        <v>191828</v>
      </c>
      <c r="M192" s="186">
        <f t="shared" si="22"/>
        <v>79.92833333333334</v>
      </c>
      <c r="N192" s="184"/>
    </row>
    <row r="193" spans="1:14" ht="19.5" customHeight="1">
      <c r="A193" s="183">
        <v>4621</v>
      </c>
      <c r="B193" s="183">
        <v>2219</v>
      </c>
      <c r="C193" s="183">
        <v>6121</v>
      </c>
      <c r="D193" s="183">
        <v>191</v>
      </c>
      <c r="E193" s="184" t="s">
        <v>881</v>
      </c>
      <c r="F193" s="185">
        <v>0</v>
      </c>
      <c r="G193" s="186">
        <v>60000</v>
      </c>
      <c r="H193" s="186"/>
      <c r="I193" s="186">
        <f t="shared" si="21"/>
        <v>60000</v>
      </c>
      <c r="J193" s="186">
        <v>0</v>
      </c>
      <c r="K193" s="186">
        <v>0</v>
      </c>
      <c r="L193" s="186">
        <f t="shared" si="23"/>
        <v>0</v>
      </c>
      <c r="M193" s="186">
        <f t="shared" si="22"/>
        <v>0</v>
      </c>
      <c r="N193" s="184"/>
    </row>
    <row r="194" spans="1:14" s="200" customFormat="1" ht="19.5" customHeight="1">
      <c r="A194" s="196">
        <v>4551</v>
      </c>
      <c r="B194" s="196">
        <v>6409</v>
      </c>
      <c r="C194" s="196">
        <v>6121</v>
      </c>
      <c r="D194" s="183">
        <v>192</v>
      </c>
      <c r="E194" s="187" t="s">
        <v>882</v>
      </c>
      <c r="F194" s="227">
        <v>725</v>
      </c>
      <c r="G194" s="190">
        <v>725000</v>
      </c>
      <c r="H194" s="228"/>
      <c r="I194" s="190">
        <f t="shared" si="21"/>
        <v>725000</v>
      </c>
      <c r="J194" s="186">
        <v>0</v>
      </c>
      <c r="K194" s="190">
        <v>725000</v>
      </c>
      <c r="L194" s="186">
        <f t="shared" si="23"/>
        <v>725000</v>
      </c>
      <c r="M194" s="186">
        <f t="shared" si="22"/>
        <v>100</v>
      </c>
      <c r="N194" s="187" t="s">
        <v>883</v>
      </c>
    </row>
    <row r="195" spans="1:14" s="200" customFormat="1" ht="19.5" customHeight="1">
      <c r="A195" s="196">
        <v>4552</v>
      </c>
      <c r="B195" s="196">
        <v>6409</v>
      </c>
      <c r="C195" s="196">
        <v>6121</v>
      </c>
      <c r="D195" s="183">
        <v>193</v>
      </c>
      <c r="E195" s="187" t="s">
        <v>884</v>
      </c>
      <c r="F195" s="227">
        <v>390</v>
      </c>
      <c r="G195" s="190">
        <v>390000</v>
      </c>
      <c r="H195" s="228"/>
      <c r="I195" s="190">
        <f t="shared" si="21"/>
        <v>390000</v>
      </c>
      <c r="J195" s="186">
        <v>0</v>
      </c>
      <c r="K195" s="190">
        <v>110000</v>
      </c>
      <c r="L195" s="186">
        <f t="shared" si="23"/>
        <v>110000</v>
      </c>
      <c r="M195" s="186">
        <f t="shared" si="22"/>
        <v>28.205128205128204</v>
      </c>
      <c r="N195" s="187" t="s">
        <v>883</v>
      </c>
    </row>
    <row r="196" spans="1:15" ht="19.5" customHeight="1">
      <c r="A196" s="183">
        <v>4459</v>
      </c>
      <c r="B196" s="183">
        <v>2212</v>
      </c>
      <c r="C196" s="183">
        <v>6121</v>
      </c>
      <c r="D196" s="183">
        <v>194</v>
      </c>
      <c r="E196" s="184" t="s">
        <v>885</v>
      </c>
      <c r="F196" s="185">
        <v>390</v>
      </c>
      <c r="G196" s="186">
        <v>195000</v>
      </c>
      <c r="H196" s="186"/>
      <c r="I196" s="186">
        <f t="shared" si="21"/>
        <v>195000</v>
      </c>
      <c r="J196" s="186">
        <v>0</v>
      </c>
      <c r="K196" s="186">
        <v>194565</v>
      </c>
      <c r="L196" s="186">
        <f t="shared" si="23"/>
        <v>194565</v>
      </c>
      <c r="M196" s="186">
        <f t="shared" si="22"/>
        <v>99.77692307692307</v>
      </c>
      <c r="N196" s="184"/>
      <c r="O196" s="229"/>
    </row>
    <row r="197" spans="1:14" ht="19.5" customHeight="1">
      <c r="A197" s="183">
        <v>4462</v>
      </c>
      <c r="B197" s="183">
        <v>2212</v>
      </c>
      <c r="C197" s="183">
        <v>6121</v>
      </c>
      <c r="D197" s="183">
        <v>195</v>
      </c>
      <c r="E197" s="184" t="s">
        <v>886</v>
      </c>
      <c r="F197" s="185">
        <v>5960</v>
      </c>
      <c r="G197" s="186">
        <v>1802000</v>
      </c>
      <c r="H197" s="186"/>
      <c r="I197" s="186">
        <f t="shared" si="21"/>
        <v>1802000</v>
      </c>
      <c r="J197" s="186">
        <v>0</v>
      </c>
      <c r="K197" s="186">
        <v>1535011.32</v>
      </c>
      <c r="L197" s="186">
        <f t="shared" si="23"/>
        <v>1535011.32</v>
      </c>
      <c r="M197" s="186">
        <f t="shared" si="22"/>
        <v>85.18375804661488</v>
      </c>
      <c r="N197" s="184"/>
    </row>
    <row r="198" spans="1:14" ht="19.5" customHeight="1">
      <c r="A198" s="183">
        <v>4460</v>
      </c>
      <c r="B198" s="183">
        <v>2212</v>
      </c>
      <c r="C198" s="183">
        <v>6121</v>
      </c>
      <c r="D198" s="183">
        <v>196</v>
      </c>
      <c r="E198" s="184" t="s">
        <v>887</v>
      </c>
      <c r="F198" s="185">
        <v>470</v>
      </c>
      <c r="G198" s="186">
        <v>595000</v>
      </c>
      <c r="H198" s="186"/>
      <c r="I198" s="186">
        <f t="shared" si="21"/>
        <v>595000</v>
      </c>
      <c r="J198" s="186">
        <v>0</v>
      </c>
      <c r="K198" s="186">
        <v>589050</v>
      </c>
      <c r="L198" s="186">
        <f t="shared" si="23"/>
        <v>589050</v>
      </c>
      <c r="M198" s="186">
        <f t="shared" si="22"/>
        <v>99</v>
      </c>
      <c r="N198" s="184"/>
    </row>
    <row r="199" spans="1:14" ht="19.5" customHeight="1">
      <c r="A199" s="183">
        <v>865</v>
      </c>
      <c r="B199" s="183">
        <v>3631</v>
      </c>
      <c r="C199" s="183">
        <v>6121</v>
      </c>
      <c r="D199" s="183">
        <v>197</v>
      </c>
      <c r="E199" s="184" t="s">
        <v>888</v>
      </c>
      <c r="F199" s="185">
        <v>3000</v>
      </c>
      <c r="G199" s="186">
        <v>0</v>
      </c>
      <c r="H199" s="186"/>
      <c r="I199" s="186">
        <f t="shared" si="21"/>
        <v>0</v>
      </c>
      <c r="J199" s="186">
        <v>0</v>
      </c>
      <c r="K199" s="186">
        <v>0</v>
      </c>
      <c r="L199" s="186">
        <f t="shared" si="23"/>
        <v>0</v>
      </c>
      <c r="M199" s="186">
        <v>0</v>
      </c>
      <c r="N199" s="184"/>
    </row>
    <row r="200" spans="1:14" ht="19.5" customHeight="1">
      <c r="A200" s="183">
        <v>4198</v>
      </c>
      <c r="B200" s="183">
        <v>2219</v>
      </c>
      <c r="C200" s="183">
        <v>6121</v>
      </c>
      <c r="D200" s="183">
        <v>198</v>
      </c>
      <c r="E200" s="184" t="s">
        <v>889</v>
      </c>
      <c r="F200" s="185">
        <v>0</v>
      </c>
      <c r="G200" s="186">
        <v>13000</v>
      </c>
      <c r="H200" s="186"/>
      <c r="I200" s="186">
        <f t="shared" si="21"/>
        <v>13000</v>
      </c>
      <c r="J200" s="186">
        <v>0</v>
      </c>
      <c r="K200" s="186">
        <v>12971</v>
      </c>
      <c r="L200" s="186">
        <f t="shared" si="23"/>
        <v>12971</v>
      </c>
      <c r="M200" s="186">
        <f aca="true" t="shared" si="24" ref="M200:M210">L200/I200*100</f>
        <v>99.77692307692307</v>
      </c>
      <c r="N200" s="184"/>
    </row>
    <row r="201" spans="1:14" ht="19.5" customHeight="1">
      <c r="A201" s="183">
        <v>4433</v>
      </c>
      <c r="B201" s="183">
        <v>2219</v>
      </c>
      <c r="C201" s="183">
        <v>6121</v>
      </c>
      <c r="D201" s="183">
        <v>199</v>
      </c>
      <c r="E201" s="184" t="s">
        <v>890</v>
      </c>
      <c r="F201" s="185">
        <v>0</v>
      </c>
      <c r="G201" s="186">
        <v>1315000</v>
      </c>
      <c r="H201" s="186"/>
      <c r="I201" s="186">
        <f t="shared" si="21"/>
        <v>1315000</v>
      </c>
      <c r="J201" s="186">
        <v>0</v>
      </c>
      <c r="K201" s="186">
        <v>1309210</v>
      </c>
      <c r="L201" s="186">
        <f t="shared" si="23"/>
        <v>1309210</v>
      </c>
      <c r="M201" s="186">
        <f t="shared" si="24"/>
        <v>99.55969581749049</v>
      </c>
      <c r="N201" s="184"/>
    </row>
    <row r="202" spans="1:14" ht="19.5" customHeight="1">
      <c r="A202" s="183">
        <v>1003</v>
      </c>
      <c r="B202" s="183">
        <v>2219</v>
      </c>
      <c r="C202" s="183">
        <v>6121</v>
      </c>
      <c r="D202" s="183">
        <v>200</v>
      </c>
      <c r="E202" s="184" t="s">
        <v>891</v>
      </c>
      <c r="F202" s="185">
        <v>1850</v>
      </c>
      <c r="G202" s="186">
        <v>88000</v>
      </c>
      <c r="H202" s="186"/>
      <c r="I202" s="186">
        <f t="shared" si="21"/>
        <v>88000</v>
      </c>
      <c r="J202" s="186">
        <v>0</v>
      </c>
      <c r="K202" s="186">
        <v>87705.4</v>
      </c>
      <c r="L202" s="186">
        <f t="shared" si="23"/>
        <v>87705.4</v>
      </c>
      <c r="M202" s="186">
        <f t="shared" si="24"/>
        <v>99.66522727272726</v>
      </c>
      <c r="N202" s="184"/>
    </row>
    <row r="203" spans="1:14" ht="19.5" customHeight="1">
      <c r="A203" s="183">
        <v>4609</v>
      </c>
      <c r="B203" s="183">
        <v>2219</v>
      </c>
      <c r="C203" s="183">
        <v>6121</v>
      </c>
      <c r="D203" s="183">
        <v>201</v>
      </c>
      <c r="E203" s="184" t="s">
        <v>892</v>
      </c>
      <c r="F203" s="185">
        <v>0</v>
      </c>
      <c r="G203" s="186">
        <v>30000</v>
      </c>
      <c r="H203" s="186"/>
      <c r="I203" s="186">
        <f t="shared" si="21"/>
        <v>30000</v>
      </c>
      <c r="J203" s="186">
        <v>0</v>
      </c>
      <c r="K203" s="186">
        <v>29368.9</v>
      </c>
      <c r="L203" s="186">
        <f t="shared" si="23"/>
        <v>29368.9</v>
      </c>
      <c r="M203" s="186">
        <f t="shared" si="24"/>
        <v>97.89633333333335</v>
      </c>
      <c r="N203" s="184"/>
    </row>
    <row r="204" spans="1:14" ht="19.5" customHeight="1">
      <c r="A204" s="183">
        <v>4624</v>
      </c>
      <c r="B204" s="183">
        <v>6409</v>
      </c>
      <c r="C204" s="183">
        <v>6121</v>
      </c>
      <c r="D204" s="183">
        <v>202</v>
      </c>
      <c r="E204" s="184" t="s">
        <v>893</v>
      </c>
      <c r="F204" s="185">
        <v>0</v>
      </c>
      <c r="G204" s="186">
        <v>425000</v>
      </c>
      <c r="H204" s="186"/>
      <c r="I204" s="186">
        <f t="shared" si="21"/>
        <v>425000</v>
      </c>
      <c r="J204" s="186">
        <v>0</v>
      </c>
      <c r="K204" s="186">
        <v>412071.6</v>
      </c>
      <c r="L204" s="186">
        <f t="shared" si="23"/>
        <v>412071.6</v>
      </c>
      <c r="M204" s="186">
        <f t="shared" si="24"/>
        <v>96.95802352941176</v>
      </c>
      <c r="N204" s="184"/>
    </row>
    <row r="205" spans="1:14" ht="19.5" customHeight="1">
      <c r="A205" s="183">
        <v>4236</v>
      </c>
      <c r="B205" s="183">
        <v>3421</v>
      </c>
      <c r="C205" s="183">
        <v>6121</v>
      </c>
      <c r="D205" s="183">
        <v>203</v>
      </c>
      <c r="E205" s="184" t="s">
        <v>894</v>
      </c>
      <c r="F205" s="189">
        <v>26000</v>
      </c>
      <c r="G205" s="186">
        <v>30940000</v>
      </c>
      <c r="H205" s="190"/>
      <c r="I205" s="186">
        <f t="shared" si="21"/>
        <v>30940000</v>
      </c>
      <c r="J205" s="186">
        <v>0</v>
      </c>
      <c r="K205" s="186">
        <v>30875704.8</v>
      </c>
      <c r="L205" s="186">
        <f t="shared" si="23"/>
        <v>30875704.8</v>
      </c>
      <c r="M205" s="186">
        <f t="shared" si="24"/>
        <v>99.79219392372333</v>
      </c>
      <c r="N205" s="184"/>
    </row>
    <row r="206" spans="1:14" ht="19.5" customHeight="1">
      <c r="A206" s="183">
        <v>726</v>
      </c>
      <c r="B206" s="183">
        <v>3741</v>
      </c>
      <c r="C206" s="183">
        <v>6121</v>
      </c>
      <c r="D206" s="183">
        <v>204</v>
      </c>
      <c r="E206" s="184" t="s">
        <v>895</v>
      </c>
      <c r="F206" s="185">
        <v>50</v>
      </c>
      <c r="G206" s="186">
        <v>50000</v>
      </c>
      <c r="H206" s="186"/>
      <c r="I206" s="186">
        <f t="shared" si="21"/>
        <v>50000</v>
      </c>
      <c r="J206" s="186">
        <v>0</v>
      </c>
      <c r="K206" s="186">
        <v>0</v>
      </c>
      <c r="L206" s="186">
        <f t="shared" si="23"/>
        <v>0</v>
      </c>
      <c r="M206" s="186">
        <f t="shared" si="24"/>
        <v>0</v>
      </c>
      <c r="N206" s="184"/>
    </row>
    <row r="207" spans="1:14" ht="19.5" customHeight="1">
      <c r="A207" s="183">
        <v>4483</v>
      </c>
      <c r="B207" s="183">
        <v>3113</v>
      </c>
      <c r="C207" s="183">
        <v>6121</v>
      </c>
      <c r="D207" s="183">
        <v>205</v>
      </c>
      <c r="E207" s="184" t="s">
        <v>896</v>
      </c>
      <c r="F207" s="194">
        <v>0</v>
      </c>
      <c r="G207" s="186">
        <v>1070000</v>
      </c>
      <c r="H207" s="195"/>
      <c r="I207" s="186">
        <f t="shared" si="21"/>
        <v>1070000</v>
      </c>
      <c r="J207" s="186">
        <v>0</v>
      </c>
      <c r="K207" s="186">
        <v>1068809</v>
      </c>
      <c r="L207" s="186">
        <f t="shared" si="23"/>
        <v>1068809</v>
      </c>
      <c r="M207" s="186">
        <f t="shared" si="24"/>
        <v>99.88869158878505</v>
      </c>
      <c r="N207" s="184"/>
    </row>
    <row r="208" spans="1:14" ht="19.5" customHeight="1">
      <c r="A208" s="183">
        <v>4631</v>
      </c>
      <c r="B208" s="183">
        <v>3113</v>
      </c>
      <c r="C208" s="183">
        <v>6121</v>
      </c>
      <c r="D208" s="183">
        <v>206</v>
      </c>
      <c r="E208" s="184" t="s">
        <v>897</v>
      </c>
      <c r="F208" s="194">
        <v>0</v>
      </c>
      <c r="G208" s="186">
        <v>119500</v>
      </c>
      <c r="H208" s="195"/>
      <c r="I208" s="186">
        <f t="shared" si="21"/>
        <v>119500</v>
      </c>
      <c r="J208" s="186">
        <v>0</v>
      </c>
      <c r="K208" s="186">
        <v>648.8</v>
      </c>
      <c r="L208" s="186">
        <f t="shared" si="23"/>
        <v>648.8</v>
      </c>
      <c r="M208" s="186">
        <f t="shared" si="24"/>
        <v>0.542928870292887</v>
      </c>
      <c r="N208" s="184"/>
    </row>
    <row r="209" spans="1:14" ht="19.5" customHeight="1">
      <c r="A209" s="183">
        <v>4283</v>
      </c>
      <c r="B209" s="183">
        <v>3141</v>
      </c>
      <c r="C209" s="183">
        <v>6121</v>
      </c>
      <c r="D209" s="183">
        <v>207</v>
      </c>
      <c r="E209" s="184" t="s">
        <v>898</v>
      </c>
      <c r="F209" s="194">
        <v>0</v>
      </c>
      <c r="G209" s="186">
        <v>44000</v>
      </c>
      <c r="H209" s="195"/>
      <c r="I209" s="186">
        <f t="shared" si="21"/>
        <v>44000</v>
      </c>
      <c r="J209" s="186">
        <v>0</v>
      </c>
      <c r="K209" s="186">
        <v>0</v>
      </c>
      <c r="L209" s="186">
        <f t="shared" si="23"/>
        <v>0</v>
      </c>
      <c r="M209" s="186">
        <f t="shared" si="24"/>
        <v>0</v>
      </c>
      <c r="N209" s="184"/>
    </row>
    <row r="210" spans="1:14" ht="19.5" customHeight="1">
      <c r="A210" s="183">
        <v>4648</v>
      </c>
      <c r="B210" s="183">
        <v>3421</v>
      </c>
      <c r="C210" s="183">
        <v>6121</v>
      </c>
      <c r="D210" s="183">
        <v>208</v>
      </c>
      <c r="E210" s="184" t="s">
        <v>899</v>
      </c>
      <c r="F210" s="194">
        <v>0</v>
      </c>
      <c r="G210" s="186">
        <v>100000</v>
      </c>
      <c r="H210" s="195"/>
      <c r="I210" s="186">
        <f t="shared" si="21"/>
        <v>100000</v>
      </c>
      <c r="J210" s="186">
        <v>0</v>
      </c>
      <c r="K210" s="186">
        <v>65450</v>
      </c>
      <c r="L210" s="186">
        <f t="shared" si="23"/>
        <v>65450</v>
      </c>
      <c r="M210" s="186">
        <f t="shared" si="24"/>
        <v>65.45</v>
      </c>
      <c r="N210" s="184"/>
    </row>
    <row r="211" spans="1:14" ht="19.5" customHeight="1">
      <c r="A211" s="210">
        <v>4668</v>
      </c>
      <c r="B211" s="210">
        <v>3113</v>
      </c>
      <c r="C211" s="210">
        <v>6121</v>
      </c>
      <c r="D211" s="183">
        <v>209</v>
      </c>
      <c r="E211" s="211" t="s">
        <v>900</v>
      </c>
      <c r="F211" s="230">
        <v>0</v>
      </c>
      <c r="G211" s="213">
        <v>50000</v>
      </c>
      <c r="H211" s="231"/>
      <c r="I211" s="213">
        <v>50000</v>
      </c>
      <c r="J211" s="186">
        <v>0</v>
      </c>
      <c r="K211" s="213">
        <v>0</v>
      </c>
      <c r="L211" s="186">
        <f t="shared" si="23"/>
        <v>0</v>
      </c>
      <c r="M211" s="213">
        <v>0</v>
      </c>
      <c r="N211" s="211"/>
    </row>
    <row r="212" spans="1:15" s="216" customFormat="1" ht="19.5" customHeight="1">
      <c r="A212" s="183">
        <v>4513</v>
      </c>
      <c r="B212" s="183">
        <v>3141</v>
      </c>
      <c r="C212" s="183">
        <v>6121</v>
      </c>
      <c r="D212" s="183">
        <v>210</v>
      </c>
      <c r="E212" s="184" t="s">
        <v>901</v>
      </c>
      <c r="F212" s="185">
        <v>230</v>
      </c>
      <c r="G212" s="186">
        <v>350000</v>
      </c>
      <c r="H212" s="186"/>
      <c r="I212" s="186">
        <f aca="true" t="shared" si="25" ref="I212:I224">G212+H212</f>
        <v>350000</v>
      </c>
      <c r="J212" s="186">
        <v>0</v>
      </c>
      <c r="K212" s="186">
        <v>348699.9</v>
      </c>
      <c r="L212" s="186">
        <f t="shared" si="23"/>
        <v>348699.9</v>
      </c>
      <c r="M212" s="186">
        <f aca="true" t="shared" si="26" ref="M212:M225">L212/I212*100</f>
        <v>99.62854285714286</v>
      </c>
      <c r="N212" s="184"/>
      <c r="O212" s="215"/>
    </row>
    <row r="213" spans="1:14" ht="19.5" customHeight="1">
      <c r="A213" s="232">
        <v>4530</v>
      </c>
      <c r="B213" s="232">
        <v>2321</v>
      </c>
      <c r="C213" s="232">
        <v>6121</v>
      </c>
      <c r="D213" s="183">
        <v>211</v>
      </c>
      <c r="E213" s="233" t="s">
        <v>902</v>
      </c>
      <c r="F213" s="234">
        <v>180</v>
      </c>
      <c r="G213" s="235">
        <v>327000</v>
      </c>
      <c r="H213" s="236"/>
      <c r="I213" s="235">
        <f t="shared" si="25"/>
        <v>327000</v>
      </c>
      <c r="J213" s="186">
        <v>0</v>
      </c>
      <c r="K213" s="235">
        <v>325632.5</v>
      </c>
      <c r="L213" s="186">
        <f t="shared" si="23"/>
        <v>325632.5</v>
      </c>
      <c r="M213" s="235">
        <f t="shared" si="26"/>
        <v>99.58180428134557</v>
      </c>
      <c r="N213" s="233"/>
    </row>
    <row r="214" spans="1:14" ht="19.5" customHeight="1">
      <c r="A214" s="210">
        <v>4672</v>
      </c>
      <c r="B214" s="210">
        <v>3113</v>
      </c>
      <c r="C214" s="210">
        <v>6121</v>
      </c>
      <c r="D214" s="183">
        <v>212</v>
      </c>
      <c r="E214" s="211" t="s">
        <v>903</v>
      </c>
      <c r="F214" s="230">
        <v>0</v>
      </c>
      <c r="G214" s="213">
        <v>512000</v>
      </c>
      <c r="H214" s="231"/>
      <c r="I214" s="213">
        <f t="shared" si="25"/>
        <v>512000</v>
      </c>
      <c r="J214" s="186">
        <v>0</v>
      </c>
      <c r="K214" s="213">
        <v>48990</v>
      </c>
      <c r="L214" s="186">
        <f t="shared" si="23"/>
        <v>48990</v>
      </c>
      <c r="M214" s="213">
        <f t="shared" si="26"/>
        <v>9.568359375</v>
      </c>
      <c r="N214" s="211"/>
    </row>
    <row r="215" spans="1:15" s="238" customFormat="1" ht="19.5" customHeight="1">
      <c r="A215" s="183">
        <v>4344</v>
      </c>
      <c r="B215" s="183">
        <v>3114</v>
      </c>
      <c r="C215" s="183">
        <v>6121</v>
      </c>
      <c r="D215" s="183">
        <v>213</v>
      </c>
      <c r="E215" s="184" t="s">
        <v>904</v>
      </c>
      <c r="F215" s="194">
        <v>51</v>
      </c>
      <c r="G215" s="186">
        <v>11000</v>
      </c>
      <c r="H215" s="195"/>
      <c r="I215" s="186">
        <f t="shared" si="25"/>
        <v>11000</v>
      </c>
      <c r="J215" s="186">
        <v>0</v>
      </c>
      <c r="K215" s="186">
        <v>0</v>
      </c>
      <c r="L215" s="186">
        <f t="shared" si="23"/>
        <v>0</v>
      </c>
      <c r="M215" s="186">
        <f t="shared" si="26"/>
        <v>0</v>
      </c>
      <c r="N215" s="184"/>
      <c r="O215" s="237"/>
    </row>
    <row r="216" spans="1:14" ht="19.5" customHeight="1">
      <c r="A216" s="217">
        <v>4509</v>
      </c>
      <c r="B216" s="217">
        <v>3141</v>
      </c>
      <c r="C216" s="217">
        <v>6121</v>
      </c>
      <c r="D216" s="183">
        <v>214</v>
      </c>
      <c r="E216" s="222" t="s">
        <v>905</v>
      </c>
      <c r="F216" s="239">
        <v>300</v>
      </c>
      <c r="G216" s="219">
        <v>230000</v>
      </c>
      <c r="H216" s="240"/>
      <c r="I216" s="219">
        <f t="shared" si="25"/>
        <v>230000</v>
      </c>
      <c r="J216" s="186">
        <v>0</v>
      </c>
      <c r="K216" s="219">
        <v>229432</v>
      </c>
      <c r="L216" s="186">
        <f t="shared" si="23"/>
        <v>229432</v>
      </c>
      <c r="M216" s="219">
        <f t="shared" si="26"/>
        <v>99.75304347826088</v>
      </c>
      <c r="N216" s="222"/>
    </row>
    <row r="217" spans="1:14" ht="19.5" customHeight="1">
      <c r="A217" s="183">
        <v>4205</v>
      </c>
      <c r="B217" s="183">
        <v>3141</v>
      </c>
      <c r="C217" s="183">
        <v>6121</v>
      </c>
      <c r="D217" s="183">
        <v>215</v>
      </c>
      <c r="E217" s="184" t="s">
        <v>906</v>
      </c>
      <c r="F217" s="194">
        <v>0</v>
      </c>
      <c r="G217" s="186">
        <v>684000</v>
      </c>
      <c r="H217" s="195"/>
      <c r="I217" s="186">
        <f t="shared" si="25"/>
        <v>684000</v>
      </c>
      <c r="J217" s="186">
        <v>0</v>
      </c>
      <c r="K217" s="186">
        <v>683275.35</v>
      </c>
      <c r="L217" s="186">
        <f t="shared" si="23"/>
        <v>683275.35</v>
      </c>
      <c r="M217" s="186">
        <f t="shared" si="26"/>
        <v>99.89405701754386</v>
      </c>
      <c r="N217" s="184"/>
    </row>
    <row r="218" spans="1:14" ht="19.5" customHeight="1">
      <c r="A218" s="183">
        <v>4669</v>
      </c>
      <c r="B218" s="183">
        <v>3113</v>
      </c>
      <c r="C218" s="183">
        <v>6121</v>
      </c>
      <c r="D218" s="183">
        <v>216</v>
      </c>
      <c r="E218" s="184" t="s">
        <v>907</v>
      </c>
      <c r="F218" s="194">
        <v>0</v>
      </c>
      <c r="G218" s="186">
        <v>50000</v>
      </c>
      <c r="H218" s="195"/>
      <c r="I218" s="186">
        <f t="shared" si="25"/>
        <v>50000</v>
      </c>
      <c r="J218" s="186">
        <v>0</v>
      </c>
      <c r="K218" s="186">
        <v>49975</v>
      </c>
      <c r="L218" s="186">
        <f t="shared" si="23"/>
        <v>49975</v>
      </c>
      <c r="M218" s="186">
        <f t="shared" si="26"/>
        <v>99.95</v>
      </c>
      <c r="N218" s="184"/>
    </row>
    <row r="219" spans="1:14" ht="19.5" customHeight="1">
      <c r="A219" s="183">
        <v>4386</v>
      </c>
      <c r="B219" s="183">
        <v>3141</v>
      </c>
      <c r="C219" s="183">
        <v>6121</v>
      </c>
      <c r="D219" s="183">
        <v>217</v>
      </c>
      <c r="E219" s="184" t="s">
        <v>908</v>
      </c>
      <c r="F219" s="194">
        <v>14000</v>
      </c>
      <c r="G219" s="186">
        <v>11264000</v>
      </c>
      <c r="H219" s="195"/>
      <c r="I219" s="186">
        <f t="shared" si="25"/>
        <v>11264000</v>
      </c>
      <c r="J219" s="186">
        <v>0</v>
      </c>
      <c r="K219" s="186">
        <v>11194154.08</v>
      </c>
      <c r="L219" s="186">
        <f t="shared" si="23"/>
        <v>11194154.08</v>
      </c>
      <c r="M219" s="186">
        <f t="shared" si="26"/>
        <v>99.37991903409092</v>
      </c>
      <c r="N219" s="184"/>
    </row>
    <row r="220" spans="1:14" ht="19.5" customHeight="1">
      <c r="A220" s="183">
        <v>4670</v>
      </c>
      <c r="B220" s="183">
        <v>3113</v>
      </c>
      <c r="C220" s="183">
        <v>6121</v>
      </c>
      <c r="D220" s="183">
        <v>218</v>
      </c>
      <c r="E220" s="184" t="s">
        <v>909</v>
      </c>
      <c r="F220" s="194">
        <v>0</v>
      </c>
      <c r="G220" s="186">
        <v>50000</v>
      </c>
      <c r="H220" s="195"/>
      <c r="I220" s="186">
        <f t="shared" si="25"/>
        <v>50000</v>
      </c>
      <c r="J220" s="186">
        <v>0</v>
      </c>
      <c r="K220" s="186">
        <v>49480</v>
      </c>
      <c r="L220" s="186">
        <f t="shared" si="23"/>
        <v>49480</v>
      </c>
      <c r="M220" s="186">
        <f t="shared" si="26"/>
        <v>98.96000000000001</v>
      </c>
      <c r="N220" s="184"/>
    </row>
    <row r="221" spans="1:14" ht="19.5" customHeight="1">
      <c r="A221" s="183">
        <v>4622</v>
      </c>
      <c r="B221" s="183">
        <v>2219</v>
      </c>
      <c r="C221" s="183">
        <v>6121</v>
      </c>
      <c r="D221" s="183">
        <v>219</v>
      </c>
      <c r="E221" s="184" t="s">
        <v>910</v>
      </c>
      <c r="F221" s="194">
        <v>0</v>
      </c>
      <c r="G221" s="186">
        <v>30000</v>
      </c>
      <c r="H221" s="195"/>
      <c r="I221" s="186">
        <f t="shared" si="25"/>
        <v>30000</v>
      </c>
      <c r="J221" s="186">
        <v>0</v>
      </c>
      <c r="K221" s="186">
        <v>21586.6</v>
      </c>
      <c r="L221" s="186">
        <f t="shared" si="23"/>
        <v>21586.6</v>
      </c>
      <c r="M221" s="186">
        <f t="shared" si="26"/>
        <v>71.95533333333333</v>
      </c>
      <c r="N221" s="184"/>
    </row>
    <row r="222" spans="1:14" ht="19.5" customHeight="1">
      <c r="A222" s="183">
        <v>4385</v>
      </c>
      <c r="B222" s="183">
        <v>3141</v>
      </c>
      <c r="C222" s="183">
        <v>6121</v>
      </c>
      <c r="D222" s="183">
        <v>220</v>
      </c>
      <c r="E222" s="184" t="s">
        <v>911</v>
      </c>
      <c r="F222" s="194">
        <v>0</v>
      </c>
      <c r="G222" s="186">
        <v>16708000</v>
      </c>
      <c r="H222" s="195"/>
      <c r="I222" s="186">
        <f t="shared" si="25"/>
        <v>16708000</v>
      </c>
      <c r="J222" s="186">
        <v>0</v>
      </c>
      <c r="K222" s="186">
        <v>15867210.1</v>
      </c>
      <c r="L222" s="186">
        <f t="shared" si="23"/>
        <v>15867210.1</v>
      </c>
      <c r="M222" s="186">
        <f t="shared" si="26"/>
        <v>94.96774060330381</v>
      </c>
      <c r="N222" s="184"/>
    </row>
    <row r="223" spans="1:14" ht="19.5" customHeight="1">
      <c r="A223" s="183">
        <v>4464</v>
      </c>
      <c r="B223" s="183">
        <v>3119</v>
      </c>
      <c r="C223" s="183">
        <v>6121</v>
      </c>
      <c r="D223" s="183">
        <v>221</v>
      </c>
      <c r="E223" s="184" t="s">
        <v>912</v>
      </c>
      <c r="F223" s="194">
        <v>6000</v>
      </c>
      <c r="G223" s="186">
        <v>12300000</v>
      </c>
      <c r="H223" s="195"/>
      <c r="I223" s="186">
        <f t="shared" si="25"/>
        <v>12300000</v>
      </c>
      <c r="J223" s="186">
        <v>0</v>
      </c>
      <c r="K223" s="186">
        <v>11728991.2</v>
      </c>
      <c r="L223" s="186">
        <f>J223+K223</f>
        <v>11728991.2</v>
      </c>
      <c r="M223" s="186">
        <f t="shared" si="26"/>
        <v>95.35765203252032</v>
      </c>
      <c r="N223" s="184"/>
    </row>
    <row r="224" spans="1:14" ht="19.5" customHeight="1" thickBot="1">
      <c r="A224" s="210">
        <v>4512</v>
      </c>
      <c r="B224" s="210">
        <v>3141</v>
      </c>
      <c r="C224" s="210">
        <v>6121</v>
      </c>
      <c r="D224" s="183">
        <v>222</v>
      </c>
      <c r="E224" s="211" t="s">
        <v>913</v>
      </c>
      <c r="F224" s="230">
        <v>220</v>
      </c>
      <c r="G224" s="186">
        <v>320000</v>
      </c>
      <c r="H224" s="231"/>
      <c r="I224" s="186">
        <f t="shared" si="25"/>
        <v>320000</v>
      </c>
      <c r="J224" s="186">
        <v>0</v>
      </c>
      <c r="K224" s="213">
        <v>303410.7</v>
      </c>
      <c r="L224" s="186">
        <f>J224+K224</f>
        <v>303410.7</v>
      </c>
      <c r="M224" s="213">
        <f t="shared" si="26"/>
        <v>94.81584375</v>
      </c>
      <c r="N224" s="211"/>
    </row>
    <row r="225" spans="1:15" s="247" customFormat="1" ht="19.5" customHeight="1" thickBot="1">
      <c r="A225" s="241"/>
      <c r="B225" s="241"/>
      <c r="C225" s="241"/>
      <c r="D225" s="241"/>
      <c r="E225" s="242" t="s">
        <v>914</v>
      </c>
      <c r="F225" s="243">
        <f aca="true" t="shared" si="27" ref="F225:L225">SUM(F3:F224)</f>
        <v>806703</v>
      </c>
      <c r="G225" s="244">
        <f t="shared" si="27"/>
        <v>864469478.0300001</v>
      </c>
      <c r="H225" s="244">
        <f t="shared" si="27"/>
        <v>7477684.42</v>
      </c>
      <c r="I225" s="244">
        <f t="shared" si="27"/>
        <v>871947162.4499999</v>
      </c>
      <c r="J225" s="244">
        <f t="shared" si="27"/>
        <v>48712139.52</v>
      </c>
      <c r="K225" s="244">
        <f t="shared" si="27"/>
        <v>758047500.77</v>
      </c>
      <c r="L225" s="244">
        <f t="shared" si="27"/>
        <v>806759640.2900001</v>
      </c>
      <c r="M225" s="244">
        <f t="shared" si="26"/>
        <v>92.52391372238247</v>
      </c>
      <c r="N225" s="245"/>
      <c r="O225" s="246"/>
    </row>
    <row r="226" spans="1:14" ht="19.5" customHeight="1">
      <c r="A226" s="220"/>
      <c r="B226" s="220"/>
      <c r="C226" s="220"/>
      <c r="D226" s="220"/>
      <c r="E226" s="178"/>
      <c r="F226" s="248"/>
      <c r="G226" s="248"/>
      <c r="H226" s="249"/>
      <c r="I226" s="248"/>
      <c r="J226" s="248"/>
      <c r="K226" s="248"/>
      <c r="L226" s="248"/>
      <c r="M226" s="248"/>
      <c r="N226" s="250"/>
    </row>
    <row r="227" spans="1:14" ht="19.5" customHeight="1">
      <c r="A227" s="251"/>
      <c r="B227" s="251"/>
      <c r="C227" s="251"/>
      <c r="D227" s="251"/>
      <c r="E227" s="178" t="s">
        <v>915</v>
      </c>
      <c r="F227" s="179"/>
      <c r="G227" s="179"/>
      <c r="H227" s="180"/>
      <c r="I227" s="179"/>
      <c r="J227" s="179"/>
      <c r="K227" s="179"/>
      <c r="L227" s="179"/>
      <c r="M227" s="179"/>
      <c r="N227" s="181"/>
    </row>
    <row r="228" spans="1:14" s="188" customFormat="1" ht="19.5" customHeight="1">
      <c r="A228" s="183">
        <v>4396</v>
      </c>
      <c r="B228" s="183">
        <v>2212</v>
      </c>
      <c r="C228" s="183">
        <v>6130</v>
      </c>
      <c r="D228" s="183">
        <v>1</v>
      </c>
      <c r="E228" s="207" t="s">
        <v>705</v>
      </c>
      <c r="F228" s="189">
        <v>0</v>
      </c>
      <c r="G228" s="190">
        <v>139000</v>
      </c>
      <c r="H228" s="190"/>
      <c r="I228" s="190">
        <f aca="true" t="shared" si="28" ref="I228:I248">G228+H228</f>
        <v>139000</v>
      </c>
      <c r="J228" s="190">
        <v>0</v>
      </c>
      <c r="K228" s="190">
        <v>138600</v>
      </c>
      <c r="L228" s="190">
        <f aca="true" t="shared" si="29" ref="L228:L259">J228+K228</f>
        <v>138600</v>
      </c>
      <c r="M228" s="190">
        <f aca="true" t="shared" si="30" ref="M228:M236">L228/I228*100</f>
        <v>99.71223021582733</v>
      </c>
      <c r="N228" s="252" t="s">
        <v>916</v>
      </c>
    </row>
    <row r="229" spans="1:14" ht="19.5" customHeight="1">
      <c r="A229" s="183">
        <v>4689</v>
      </c>
      <c r="B229" s="183">
        <v>3635</v>
      </c>
      <c r="C229" s="183">
        <v>6130</v>
      </c>
      <c r="D229" s="183">
        <v>2</v>
      </c>
      <c r="E229" s="184" t="s">
        <v>722</v>
      </c>
      <c r="F229" s="185">
        <v>0</v>
      </c>
      <c r="G229" s="186">
        <v>10458000</v>
      </c>
      <c r="H229" s="186"/>
      <c r="I229" s="186">
        <f t="shared" si="28"/>
        <v>10458000</v>
      </c>
      <c r="J229" s="190">
        <v>0</v>
      </c>
      <c r="K229" s="186">
        <v>9862100</v>
      </c>
      <c r="L229" s="190">
        <f t="shared" si="29"/>
        <v>9862100</v>
      </c>
      <c r="M229" s="190">
        <f t="shared" si="30"/>
        <v>94.3019697838975</v>
      </c>
      <c r="N229" s="253" t="s">
        <v>917</v>
      </c>
    </row>
    <row r="230" spans="1:14" s="188" customFormat="1" ht="19.5" customHeight="1">
      <c r="A230" s="183">
        <v>4361</v>
      </c>
      <c r="B230" s="183">
        <v>3635</v>
      </c>
      <c r="C230" s="183">
        <v>6119</v>
      </c>
      <c r="D230" s="183">
        <v>3</v>
      </c>
      <c r="E230" s="207" t="s">
        <v>918</v>
      </c>
      <c r="F230" s="189">
        <v>2300</v>
      </c>
      <c r="G230" s="190">
        <v>3226566</v>
      </c>
      <c r="H230" s="190"/>
      <c r="I230" s="190">
        <f t="shared" si="28"/>
        <v>3226566</v>
      </c>
      <c r="J230" s="190">
        <v>0</v>
      </c>
      <c r="K230" s="190">
        <v>3226566</v>
      </c>
      <c r="L230" s="190">
        <f t="shared" si="29"/>
        <v>3226566</v>
      </c>
      <c r="M230" s="190">
        <f t="shared" si="30"/>
        <v>100</v>
      </c>
      <c r="N230" s="252" t="s">
        <v>919</v>
      </c>
    </row>
    <row r="231" spans="1:14" ht="19.5" customHeight="1">
      <c r="A231" s="183">
        <v>1050</v>
      </c>
      <c r="B231" s="183">
        <v>3635</v>
      </c>
      <c r="C231" s="183">
        <v>6119</v>
      </c>
      <c r="D231" s="183">
        <v>4</v>
      </c>
      <c r="E231" s="207" t="s">
        <v>920</v>
      </c>
      <c r="F231" s="189">
        <v>320</v>
      </c>
      <c r="G231" s="190">
        <v>320000</v>
      </c>
      <c r="H231" s="190"/>
      <c r="I231" s="190">
        <f t="shared" si="28"/>
        <v>320000</v>
      </c>
      <c r="J231" s="190">
        <v>0</v>
      </c>
      <c r="K231" s="190">
        <v>269250</v>
      </c>
      <c r="L231" s="190">
        <f t="shared" si="29"/>
        <v>269250</v>
      </c>
      <c r="M231" s="190">
        <f t="shared" si="30"/>
        <v>84.140625</v>
      </c>
      <c r="N231" s="253" t="s">
        <v>921</v>
      </c>
    </row>
    <row r="232" spans="1:14" ht="19.5" customHeight="1">
      <c r="A232" s="183">
        <v>4527</v>
      </c>
      <c r="B232" s="183">
        <v>3635</v>
      </c>
      <c r="C232" s="183">
        <v>6119</v>
      </c>
      <c r="D232" s="183">
        <v>5</v>
      </c>
      <c r="E232" s="207" t="s">
        <v>922</v>
      </c>
      <c r="F232" s="209">
        <v>200</v>
      </c>
      <c r="G232" s="190">
        <v>200000</v>
      </c>
      <c r="H232" s="190"/>
      <c r="I232" s="190">
        <f t="shared" si="28"/>
        <v>200000</v>
      </c>
      <c r="J232" s="190">
        <v>0</v>
      </c>
      <c r="K232" s="190">
        <v>0</v>
      </c>
      <c r="L232" s="190">
        <f t="shared" si="29"/>
        <v>0</v>
      </c>
      <c r="M232" s="190">
        <f t="shared" si="30"/>
        <v>0</v>
      </c>
      <c r="N232" s="253" t="s">
        <v>916</v>
      </c>
    </row>
    <row r="233" spans="1:14" ht="19.5" customHeight="1">
      <c r="A233" s="183">
        <v>4628</v>
      </c>
      <c r="B233" s="183">
        <v>6171</v>
      </c>
      <c r="C233" s="183">
        <v>6122</v>
      </c>
      <c r="D233" s="183">
        <v>6</v>
      </c>
      <c r="E233" s="207" t="s">
        <v>923</v>
      </c>
      <c r="F233" s="209">
        <v>0</v>
      </c>
      <c r="G233" s="190">
        <v>320000</v>
      </c>
      <c r="H233" s="190"/>
      <c r="I233" s="190">
        <f t="shared" si="28"/>
        <v>320000</v>
      </c>
      <c r="J233" s="190">
        <v>0</v>
      </c>
      <c r="K233" s="190">
        <v>0</v>
      </c>
      <c r="L233" s="190">
        <f t="shared" si="29"/>
        <v>0</v>
      </c>
      <c r="M233" s="190">
        <f t="shared" si="30"/>
        <v>0</v>
      </c>
      <c r="N233" s="253" t="s">
        <v>794</v>
      </c>
    </row>
    <row r="234" spans="1:14" ht="19.5" customHeight="1">
      <c r="A234" s="183">
        <v>4540</v>
      </c>
      <c r="B234" s="183">
        <v>5212</v>
      </c>
      <c r="C234" s="183">
        <v>6123</v>
      </c>
      <c r="D234" s="183">
        <v>7</v>
      </c>
      <c r="E234" s="207" t="s">
        <v>924</v>
      </c>
      <c r="F234" s="189">
        <v>70</v>
      </c>
      <c r="G234" s="190">
        <v>70000</v>
      </c>
      <c r="H234" s="190"/>
      <c r="I234" s="190">
        <f t="shared" si="28"/>
        <v>70000</v>
      </c>
      <c r="J234" s="190">
        <v>0</v>
      </c>
      <c r="K234" s="190">
        <v>70000</v>
      </c>
      <c r="L234" s="190">
        <f t="shared" si="29"/>
        <v>70000</v>
      </c>
      <c r="M234" s="190">
        <f t="shared" si="30"/>
        <v>100</v>
      </c>
      <c r="N234" s="253" t="s">
        <v>925</v>
      </c>
    </row>
    <row r="235" spans="1:14" s="200" customFormat="1" ht="20.25" customHeight="1">
      <c r="A235" s="196">
        <v>4554</v>
      </c>
      <c r="B235" s="196">
        <v>5512</v>
      </c>
      <c r="C235" s="196">
        <v>6123</v>
      </c>
      <c r="D235" s="183">
        <v>8</v>
      </c>
      <c r="E235" s="197" t="s">
        <v>926</v>
      </c>
      <c r="F235" s="203">
        <v>0</v>
      </c>
      <c r="G235" s="190">
        <v>7500000</v>
      </c>
      <c r="H235" s="204"/>
      <c r="I235" s="190">
        <f t="shared" si="28"/>
        <v>7500000</v>
      </c>
      <c r="J235" s="190">
        <v>0</v>
      </c>
      <c r="K235" s="190">
        <v>7494620</v>
      </c>
      <c r="L235" s="190">
        <f t="shared" si="29"/>
        <v>7494620</v>
      </c>
      <c r="M235" s="190">
        <f t="shared" si="30"/>
        <v>99.92826666666666</v>
      </c>
      <c r="N235" s="254" t="s">
        <v>925</v>
      </c>
    </row>
    <row r="236" spans="1:14" s="200" customFormat="1" ht="19.5" customHeight="1">
      <c r="A236" s="196">
        <v>4255</v>
      </c>
      <c r="B236" s="196">
        <v>2219</v>
      </c>
      <c r="C236" s="196">
        <v>6130</v>
      </c>
      <c r="D236" s="183">
        <v>9</v>
      </c>
      <c r="E236" s="197" t="s">
        <v>763</v>
      </c>
      <c r="F236" s="203">
        <v>0</v>
      </c>
      <c r="G236" s="190">
        <v>3000</v>
      </c>
      <c r="H236" s="204"/>
      <c r="I236" s="190">
        <f t="shared" si="28"/>
        <v>3000</v>
      </c>
      <c r="J236" s="190">
        <v>0</v>
      </c>
      <c r="K236" s="190">
        <v>2500</v>
      </c>
      <c r="L236" s="190">
        <f t="shared" si="29"/>
        <v>2500</v>
      </c>
      <c r="M236" s="190">
        <f t="shared" si="30"/>
        <v>83.33333333333334</v>
      </c>
      <c r="N236" s="252" t="s">
        <v>916</v>
      </c>
    </row>
    <row r="237" spans="1:14" s="200" customFormat="1" ht="32.25" customHeight="1">
      <c r="A237" s="196">
        <v>4607</v>
      </c>
      <c r="B237" s="196">
        <v>5512</v>
      </c>
      <c r="C237" s="196">
        <v>6123</v>
      </c>
      <c r="D237" s="183">
        <v>10</v>
      </c>
      <c r="E237" s="197" t="s">
        <v>927</v>
      </c>
      <c r="F237" s="203">
        <v>0</v>
      </c>
      <c r="G237" s="190">
        <v>714000</v>
      </c>
      <c r="H237" s="204"/>
      <c r="I237" s="190">
        <f t="shared" si="28"/>
        <v>714000</v>
      </c>
      <c r="J237" s="190">
        <v>0</v>
      </c>
      <c r="K237" s="190">
        <v>0</v>
      </c>
      <c r="L237" s="190">
        <f t="shared" si="29"/>
        <v>0</v>
      </c>
      <c r="M237" s="190">
        <v>0</v>
      </c>
      <c r="N237" s="255" t="s">
        <v>1098</v>
      </c>
    </row>
    <row r="238" spans="1:14" ht="19.5" customHeight="1">
      <c r="A238" s="183">
        <v>952</v>
      </c>
      <c r="B238" s="183">
        <v>5311</v>
      </c>
      <c r="C238" s="183">
        <v>6122</v>
      </c>
      <c r="D238" s="183">
        <v>11</v>
      </c>
      <c r="E238" s="207" t="s">
        <v>928</v>
      </c>
      <c r="F238" s="189">
        <v>320</v>
      </c>
      <c r="G238" s="190">
        <v>320000</v>
      </c>
      <c r="H238" s="190"/>
      <c r="I238" s="190">
        <f t="shared" si="28"/>
        <v>320000</v>
      </c>
      <c r="J238" s="190">
        <v>0</v>
      </c>
      <c r="K238" s="190">
        <v>319965.6</v>
      </c>
      <c r="L238" s="190">
        <f t="shared" si="29"/>
        <v>319965.6</v>
      </c>
      <c r="M238" s="190">
        <f aca="true" t="shared" si="31" ref="M238:M255">L238/I238*100</f>
        <v>99.98925</v>
      </c>
      <c r="N238" s="253" t="s">
        <v>929</v>
      </c>
    </row>
    <row r="239" spans="1:14" ht="19.5" customHeight="1">
      <c r="A239" s="183">
        <v>4645</v>
      </c>
      <c r="B239" s="183">
        <v>2219</v>
      </c>
      <c r="C239" s="183">
        <v>6122</v>
      </c>
      <c r="D239" s="183">
        <v>12</v>
      </c>
      <c r="E239" s="207" t="s">
        <v>930</v>
      </c>
      <c r="F239" s="189">
        <v>0</v>
      </c>
      <c r="G239" s="190">
        <v>221000</v>
      </c>
      <c r="H239" s="190"/>
      <c r="I239" s="190">
        <f t="shared" si="28"/>
        <v>221000</v>
      </c>
      <c r="J239" s="190">
        <v>0</v>
      </c>
      <c r="K239" s="190">
        <v>220662.1</v>
      </c>
      <c r="L239" s="190">
        <f t="shared" si="29"/>
        <v>220662.1</v>
      </c>
      <c r="M239" s="190">
        <f t="shared" si="31"/>
        <v>99.8471040723982</v>
      </c>
      <c r="N239" s="253" t="s">
        <v>883</v>
      </c>
    </row>
    <row r="240" spans="1:14" ht="19.5" customHeight="1">
      <c r="A240" s="183">
        <v>953</v>
      </c>
      <c r="B240" s="183">
        <v>3419</v>
      </c>
      <c r="C240" s="183">
        <v>6202</v>
      </c>
      <c r="D240" s="183">
        <v>13</v>
      </c>
      <c r="E240" s="207" t="s">
        <v>931</v>
      </c>
      <c r="F240" s="189">
        <v>8900</v>
      </c>
      <c r="G240" s="190">
        <v>4900000</v>
      </c>
      <c r="H240" s="190"/>
      <c r="I240" s="190">
        <f t="shared" si="28"/>
        <v>4900000</v>
      </c>
      <c r="J240" s="190">
        <v>0</v>
      </c>
      <c r="K240" s="190">
        <v>4900000</v>
      </c>
      <c r="L240" s="190">
        <f t="shared" si="29"/>
        <v>4900000</v>
      </c>
      <c r="M240" s="190">
        <f t="shared" si="31"/>
        <v>100</v>
      </c>
      <c r="N240" s="253" t="s">
        <v>921</v>
      </c>
    </row>
    <row r="241" spans="1:14" ht="26.25" customHeight="1">
      <c r="A241" s="183">
        <v>953</v>
      </c>
      <c r="B241" s="183">
        <v>3419</v>
      </c>
      <c r="C241" s="183">
        <v>6202</v>
      </c>
      <c r="D241" s="183">
        <v>14</v>
      </c>
      <c r="E241" s="207" t="s">
        <v>931</v>
      </c>
      <c r="F241" s="189">
        <v>0</v>
      </c>
      <c r="G241" s="190">
        <v>6500000</v>
      </c>
      <c r="H241" s="190"/>
      <c r="I241" s="190">
        <f t="shared" si="28"/>
        <v>6500000</v>
      </c>
      <c r="J241" s="190">
        <v>0</v>
      </c>
      <c r="K241" s="190">
        <v>6500000</v>
      </c>
      <c r="L241" s="190">
        <f t="shared" si="29"/>
        <v>6500000</v>
      </c>
      <c r="M241" s="190">
        <f t="shared" si="31"/>
        <v>100</v>
      </c>
      <c r="N241" s="256" t="s">
        <v>932</v>
      </c>
    </row>
    <row r="242" spans="1:14" ht="19.5" customHeight="1">
      <c r="A242" s="183">
        <v>4541</v>
      </c>
      <c r="B242" s="183">
        <v>6171</v>
      </c>
      <c r="C242" s="183">
        <v>6122</v>
      </c>
      <c r="D242" s="183">
        <v>15</v>
      </c>
      <c r="E242" s="207" t="s">
        <v>933</v>
      </c>
      <c r="F242" s="189">
        <v>250</v>
      </c>
      <c r="G242" s="190">
        <v>250000</v>
      </c>
      <c r="H242" s="190"/>
      <c r="I242" s="190">
        <f t="shared" si="28"/>
        <v>250000</v>
      </c>
      <c r="J242" s="190">
        <v>0</v>
      </c>
      <c r="K242" s="190">
        <v>240023</v>
      </c>
      <c r="L242" s="190">
        <f t="shared" si="29"/>
        <v>240023</v>
      </c>
      <c r="M242" s="190">
        <f t="shared" si="31"/>
        <v>96.00919999999999</v>
      </c>
      <c r="N242" s="253" t="s">
        <v>934</v>
      </c>
    </row>
    <row r="243" spans="1:14" ht="25.5" customHeight="1">
      <c r="A243" s="183">
        <v>4682</v>
      </c>
      <c r="B243" s="183">
        <v>6171</v>
      </c>
      <c r="C243" s="183">
        <v>6122</v>
      </c>
      <c r="D243" s="183">
        <v>16</v>
      </c>
      <c r="E243" s="207" t="s">
        <v>935</v>
      </c>
      <c r="F243" s="189">
        <v>0</v>
      </c>
      <c r="G243" s="190">
        <v>49985</v>
      </c>
      <c r="H243" s="190"/>
      <c r="I243" s="190">
        <f t="shared" si="28"/>
        <v>49985</v>
      </c>
      <c r="J243" s="190">
        <v>0</v>
      </c>
      <c r="K243" s="190">
        <v>49578</v>
      </c>
      <c r="L243" s="190">
        <f t="shared" si="29"/>
        <v>49578</v>
      </c>
      <c r="M243" s="190">
        <f t="shared" si="31"/>
        <v>99.18575572671801</v>
      </c>
      <c r="N243" s="256" t="s">
        <v>936</v>
      </c>
    </row>
    <row r="244" spans="1:14" ht="26.25" customHeight="1">
      <c r="A244" s="183">
        <v>4667</v>
      </c>
      <c r="B244" s="183">
        <v>6171</v>
      </c>
      <c r="C244" s="183">
        <v>6122</v>
      </c>
      <c r="D244" s="183">
        <v>17</v>
      </c>
      <c r="E244" s="207" t="s">
        <v>937</v>
      </c>
      <c r="F244" s="189">
        <v>0</v>
      </c>
      <c r="G244" s="190">
        <v>190000</v>
      </c>
      <c r="H244" s="190"/>
      <c r="I244" s="190">
        <f t="shared" si="28"/>
        <v>190000</v>
      </c>
      <c r="J244" s="190">
        <v>0</v>
      </c>
      <c r="K244" s="190">
        <v>174135</v>
      </c>
      <c r="L244" s="190">
        <f t="shared" si="29"/>
        <v>174135</v>
      </c>
      <c r="M244" s="190">
        <f t="shared" si="31"/>
        <v>91.64999999999999</v>
      </c>
      <c r="N244" s="256" t="s">
        <v>938</v>
      </c>
    </row>
    <row r="245" spans="1:14" ht="26.25" customHeight="1">
      <c r="A245" s="183">
        <v>4673</v>
      </c>
      <c r="B245" s="183">
        <v>6171</v>
      </c>
      <c r="C245" s="183">
        <v>6122</v>
      </c>
      <c r="D245" s="183">
        <v>18</v>
      </c>
      <c r="E245" s="207" t="s">
        <v>939</v>
      </c>
      <c r="F245" s="189">
        <v>0</v>
      </c>
      <c r="G245" s="190">
        <v>113000</v>
      </c>
      <c r="H245" s="190"/>
      <c r="I245" s="190">
        <f t="shared" si="28"/>
        <v>113000</v>
      </c>
      <c r="J245" s="190">
        <v>0</v>
      </c>
      <c r="K245" s="190">
        <v>112991</v>
      </c>
      <c r="L245" s="190">
        <f t="shared" si="29"/>
        <v>112991</v>
      </c>
      <c r="M245" s="190">
        <f t="shared" si="31"/>
        <v>99.99203539823009</v>
      </c>
      <c r="N245" s="256" t="s">
        <v>940</v>
      </c>
    </row>
    <row r="246" spans="1:14" ht="26.25" customHeight="1">
      <c r="A246" s="183">
        <v>4680</v>
      </c>
      <c r="B246" s="183">
        <v>6171</v>
      </c>
      <c r="C246" s="183">
        <v>6122</v>
      </c>
      <c r="D246" s="183">
        <v>19</v>
      </c>
      <c r="E246" s="207" t="s">
        <v>941</v>
      </c>
      <c r="F246" s="189">
        <v>0</v>
      </c>
      <c r="G246" s="190">
        <v>230000</v>
      </c>
      <c r="H246" s="190"/>
      <c r="I246" s="190">
        <f t="shared" si="28"/>
        <v>230000</v>
      </c>
      <c r="J246" s="190">
        <v>0</v>
      </c>
      <c r="K246" s="190">
        <v>205000</v>
      </c>
      <c r="L246" s="190">
        <f t="shared" si="29"/>
        <v>205000</v>
      </c>
      <c r="M246" s="190">
        <f t="shared" si="31"/>
        <v>89.13043478260869</v>
      </c>
      <c r="N246" s="256" t="s">
        <v>942</v>
      </c>
    </row>
    <row r="247" spans="1:14" ht="26.25" customHeight="1">
      <c r="A247" s="183">
        <v>4674</v>
      </c>
      <c r="B247" s="183">
        <v>6171</v>
      </c>
      <c r="C247" s="183">
        <v>6122</v>
      </c>
      <c r="D247" s="183">
        <v>20</v>
      </c>
      <c r="E247" s="207" t="s">
        <v>943</v>
      </c>
      <c r="F247" s="189">
        <v>0</v>
      </c>
      <c r="G247" s="190">
        <v>200000</v>
      </c>
      <c r="H247" s="190"/>
      <c r="I247" s="190">
        <f t="shared" si="28"/>
        <v>200000</v>
      </c>
      <c r="J247" s="190">
        <v>0</v>
      </c>
      <c r="K247" s="190">
        <v>196350</v>
      </c>
      <c r="L247" s="190">
        <f t="shared" si="29"/>
        <v>196350</v>
      </c>
      <c r="M247" s="190">
        <f t="shared" si="31"/>
        <v>98.175</v>
      </c>
      <c r="N247" s="256" t="s">
        <v>944</v>
      </c>
    </row>
    <row r="248" spans="1:14" ht="19.5" customHeight="1">
      <c r="A248" s="183">
        <v>4603</v>
      </c>
      <c r="B248" s="183">
        <v>5311</v>
      </c>
      <c r="C248" s="183">
        <v>6122</v>
      </c>
      <c r="D248" s="183">
        <v>21</v>
      </c>
      <c r="E248" s="207" t="s">
        <v>945</v>
      </c>
      <c r="F248" s="189">
        <v>0</v>
      </c>
      <c r="G248" s="190">
        <v>1650000</v>
      </c>
      <c r="H248" s="190"/>
      <c r="I248" s="190">
        <f t="shared" si="28"/>
        <v>1650000</v>
      </c>
      <c r="J248" s="190">
        <v>251430.8</v>
      </c>
      <c r="K248" s="190">
        <v>1323320.2</v>
      </c>
      <c r="L248" s="190">
        <f t="shared" si="29"/>
        <v>1574751</v>
      </c>
      <c r="M248" s="190">
        <f t="shared" si="31"/>
        <v>95.43945454545455</v>
      </c>
      <c r="N248" s="253" t="s">
        <v>929</v>
      </c>
    </row>
    <row r="249" spans="1:14" ht="19.5" customHeight="1">
      <c r="A249" s="183">
        <v>4497</v>
      </c>
      <c r="B249" s="183">
        <v>5311</v>
      </c>
      <c r="C249" s="183">
        <v>6122</v>
      </c>
      <c r="D249" s="183">
        <v>22</v>
      </c>
      <c r="E249" s="207" t="s">
        <v>946</v>
      </c>
      <c r="F249" s="189">
        <v>0</v>
      </c>
      <c r="G249" s="190">
        <v>39183</v>
      </c>
      <c r="H249" s="190">
        <v>32000</v>
      </c>
      <c r="I249" s="190">
        <f>71183+112000</f>
        <v>183183</v>
      </c>
      <c r="J249" s="190">
        <v>0</v>
      </c>
      <c r="K249" s="190">
        <f>71179+112000</f>
        <v>183179</v>
      </c>
      <c r="L249" s="190">
        <f t="shared" si="29"/>
        <v>183179</v>
      </c>
      <c r="M249" s="190">
        <f t="shared" si="31"/>
        <v>99.99781639125901</v>
      </c>
      <c r="N249" s="253" t="s">
        <v>929</v>
      </c>
    </row>
    <row r="250" spans="1:14" ht="19.5" customHeight="1">
      <c r="A250" s="183">
        <v>4625</v>
      </c>
      <c r="B250" s="183">
        <v>5311</v>
      </c>
      <c r="C250" s="183">
        <v>6122</v>
      </c>
      <c r="D250" s="183">
        <v>23</v>
      </c>
      <c r="E250" s="207" t="s">
        <v>947</v>
      </c>
      <c r="F250" s="189">
        <v>0</v>
      </c>
      <c r="G250" s="190">
        <v>157694</v>
      </c>
      <c r="H250" s="190"/>
      <c r="I250" s="190">
        <f>157694+450000</f>
        <v>607694</v>
      </c>
      <c r="J250" s="190">
        <v>0</v>
      </c>
      <c r="K250" s="190">
        <f>157694+450000</f>
        <v>607694</v>
      </c>
      <c r="L250" s="190">
        <f t="shared" si="29"/>
        <v>607694</v>
      </c>
      <c r="M250" s="190">
        <f t="shared" si="31"/>
        <v>100</v>
      </c>
      <c r="N250" s="253" t="s">
        <v>929</v>
      </c>
    </row>
    <row r="251" spans="1:14" ht="19.5" customHeight="1">
      <c r="A251" s="183">
        <v>4639</v>
      </c>
      <c r="B251" s="183">
        <v>5512</v>
      </c>
      <c r="C251" s="183">
        <v>6122</v>
      </c>
      <c r="D251" s="183">
        <v>24</v>
      </c>
      <c r="E251" s="207" t="s">
        <v>948</v>
      </c>
      <c r="F251" s="209">
        <v>0</v>
      </c>
      <c r="G251" s="190">
        <v>900000</v>
      </c>
      <c r="H251" s="190"/>
      <c r="I251" s="190">
        <f aca="true" t="shared" si="32" ref="I251:I260">G251+H251</f>
        <v>900000</v>
      </c>
      <c r="J251" s="190">
        <v>0</v>
      </c>
      <c r="K251" s="190">
        <v>866668</v>
      </c>
      <c r="L251" s="190">
        <f t="shared" si="29"/>
        <v>866668</v>
      </c>
      <c r="M251" s="190">
        <f t="shared" si="31"/>
        <v>96.29644444444445</v>
      </c>
      <c r="N251" s="253" t="s">
        <v>925</v>
      </c>
    </row>
    <row r="252" spans="1:14" ht="19.5" customHeight="1">
      <c r="A252" s="183">
        <v>4640</v>
      </c>
      <c r="B252" s="183">
        <v>5512</v>
      </c>
      <c r="C252" s="183">
        <v>6122</v>
      </c>
      <c r="D252" s="183">
        <v>25</v>
      </c>
      <c r="E252" s="207" t="s">
        <v>949</v>
      </c>
      <c r="F252" s="209">
        <v>0</v>
      </c>
      <c r="G252" s="190">
        <v>600000</v>
      </c>
      <c r="H252" s="190"/>
      <c r="I252" s="190">
        <f t="shared" si="32"/>
        <v>600000</v>
      </c>
      <c r="J252" s="190">
        <v>0</v>
      </c>
      <c r="K252" s="190">
        <v>537880</v>
      </c>
      <c r="L252" s="190">
        <f t="shared" si="29"/>
        <v>537880</v>
      </c>
      <c r="M252" s="190">
        <f t="shared" si="31"/>
        <v>89.64666666666666</v>
      </c>
      <c r="N252" s="253" t="s">
        <v>925</v>
      </c>
    </row>
    <row r="253" spans="1:14" ht="22.5" customHeight="1">
      <c r="A253" s="183">
        <v>4638</v>
      </c>
      <c r="B253" s="183">
        <v>3635</v>
      </c>
      <c r="C253" s="183">
        <v>6130</v>
      </c>
      <c r="D253" s="183">
        <v>26</v>
      </c>
      <c r="E253" s="207" t="s">
        <v>803</v>
      </c>
      <c r="F253" s="209">
        <v>0</v>
      </c>
      <c r="G253" s="190">
        <v>20328000</v>
      </c>
      <c r="H253" s="190"/>
      <c r="I253" s="190">
        <f t="shared" si="32"/>
        <v>20328000</v>
      </c>
      <c r="J253" s="190">
        <v>0</v>
      </c>
      <c r="K253" s="190">
        <v>20326630</v>
      </c>
      <c r="L253" s="190">
        <f t="shared" si="29"/>
        <v>20326630</v>
      </c>
      <c r="M253" s="190">
        <f t="shared" si="31"/>
        <v>99.99326052735144</v>
      </c>
      <c r="N253" s="256" t="s">
        <v>917</v>
      </c>
    </row>
    <row r="254" spans="1:14" ht="19.5" customHeight="1">
      <c r="A254" s="183">
        <v>4536</v>
      </c>
      <c r="B254" s="183">
        <v>6171</v>
      </c>
      <c r="C254" s="183">
        <v>6123</v>
      </c>
      <c r="D254" s="183">
        <v>27</v>
      </c>
      <c r="E254" s="207" t="s">
        <v>950</v>
      </c>
      <c r="F254" s="189">
        <v>1250</v>
      </c>
      <c r="G254" s="190">
        <v>1250000</v>
      </c>
      <c r="H254" s="190"/>
      <c r="I254" s="190">
        <f t="shared" si="32"/>
        <v>1250000</v>
      </c>
      <c r="J254" s="190">
        <v>0</v>
      </c>
      <c r="K254" s="190">
        <v>0</v>
      </c>
      <c r="L254" s="190">
        <f t="shared" si="29"/>
        <v>0</v>
      </c>
      <c r="M254" s="190">
        <f t="shared" si="31"/>
        <v>0</v>
      </c>
      <c r="N254" s="253" t="s">
        <v>916</v>
      </c>
    </row>
    <row r="255" spans="1:14" ht="19.5" customHeight="1">
      <c r="A255" s="183">
        <v>4379</v>
      </c>
      <c r="B255" s="183">
        <v>6171</v>
      </c>
      <c r="C255" s="183">
        <v>6111</v>
      </c>
      <c r="D255" s="183">
        <v>28</v>
      </c>
      <c r="E255" s="207" t="s">
        <v>951</v>
      </c>
      <c r="F255" s="189">
        <v>100</v>
      </c>
      <c r="G255" s="190">
        <v>800000</v>
      </c>
      <c r="H255" s="190"/>
      <c r="I255" s="190">
        <f t="shared" si="32"/>
        <v>800000</v>
      </c>
      <c r="J255" s="190">
        <v>0</v>
      </c>
      <c r="K255" s="190">
        <f>753330.6+46669.4</f>
        <v>800000</v>
      </c>
      <c r="L255" s="190">
        <f t="shared" si="29"/>
        <v>800000</v>
      </c>
      <c r="M255" s="190">
        <f t="shared" si="31"/>
        <v>100</v>
      </c>
      <c r="N255" s="253" t="s">
        <v>919</v>
      </c>
    </row>
    <row r="256" spans="1:14" ht="30" customHeight="1">
      <c r="A256" s="183">
        <v>4664</v>
      </c>
      <c r="B256" s="183">
        <v>6171</v>
      </c>
      <c r="C256" s="183">
        <v>6122</v>
      </c>
      <c r="D256" s="183">
        <v>29</v>
      </c>
      <c r="E256" s="207" t="s">
        <v>952</v>
      </c>
      <c r="F256" s="189">
        <v>0</v>
      </c>
      <c r="G256" s="190">
        <v>50000</v>
      </c>
      <c r="H256" s="190"/>
      <c r="I256" s="190">
        <f t="shared" si="32"/>
        <v>50000</v>
      </c>
      <c r="J256" s="190">
        <v>0</v>
      </c>
      <c r="K256" s="190">
        <v>0</v>
      </c>
      <c r="L256" s="190">
        <f t="shared" si="29"/>
        <v>0</v>
      </c>
      <c r="M256" s="190">
        <v>0</v>
      </c>
      <c r="N256" s="256" t="s">
        <v>953</v>
      </c>
    </row>
    <row r="257" spans="1:14" ht="19.5" customHeight="1">
      <c r="A257" s="183">
        <v>1111</v>
      </c>
      <c r="B257" s="183">
        <v>6171</v>
      </c>
      <c r="C257" s="183">
        <v>6125</v>
      </c>
      <c r="D257" s="183">
        <v>30</v>
      </c>
      <c r="E257" s="207" t="s">
        <v>954</v>
      </c>
      <c r="F257" s="189">
        <v>2000</v>
      </c>
      <c r="G257" s="190">
        <v>2150000</v>
      </c>
      <c r="H257" s="190"/>
      <c r="I257" s="190">
        <f t="shared" si="32"/>
        <v>2150000</v>
      </c>
      <c r="J257" s="190">
        <v>0</v>
      </c>
      <c r="K257" s="190">
        <f>2224638.4-46669.4</f>
        <v>2177969</v>
      </c>
      <c r="L257" s="190">
        <f t="shared" si="29"/>
        <v>2177969</v>
      </c>
      <c r="M257" s="190">
        <f>L257/I257*100</f>
        <v>101.30088372093023</v>
      </c>
      <c r="N257" s="253" t="s">
        <v>919</v>
      </c>
    </row>
    <row r="258" spans="1:14" ht="19.5" customHeight="1">
      <c r="A258" s="183">
        <v>4495</v>
      </c>
      <c r="B258" s="183">
        <v>5311</v>
      </c>
      <c r="C258" s="183">
        <v>6111</v>
      </c>
      <c r="D258" s="183">
        <v>31</v>
      </c>
      <c r="E258" s="207" t="s">
        <v>955</v>
      </c>
      <c r="F258" s="189">
        <v>0</v>
      </c>
      <c r="G258" s="190">
        <v>50000</v>
      </c>
      <c r="H258" s="190"/>
      <c r="I258" s="190">
        <f t="shared" si="32"/>
        <v>50000</v>
      </c>
      <c r="J258" s="190">
        <v>0</v>
      </c>
      <c r="K258" s="190">
        <v>50000</v>
      </c>
      <c r="L258" s="190">
        <f t="shared" si="29"/>
        <v>50000</v>
      </c>
      <c r="M258" s="190">
        <f>L258/I258*100</f>
        <v>100</v>
      </c>
      <c r="N258" s="253" t="s">
        <v>929</v>
      </c>
    </row>
    <row r="259" spans="1:14" ht="19.5" customHeight="1">
      <c r="A259" s="183">
        <v>4537</v>
      </c>
      <c r="B259" s="183">
        <v>5512</v>
      </c>
      <c r="C259" s="183">
        <v>6122</v>
      </c>
      <c r="D259" s="183">
        <v>32</v>
      </c>
      <c r="E259" s="207" t="s">
        <v>956</v>
      </c>
      <c r="F259" s="189">
        <v>300</v>
      </c>
      <c r="G259" s="190">
        <v>300000</v>
      </c>
      <c r="H259" s="190"/>
      <c r="I259" s="190">
        <f t="shared" si="32"/>
        <v>300000</v>
      </c>
      <c r="J259" s="190">
        <v>0</v>
      </c>
      <c r="K259" s="190">
        <v>300000</v>
      </c>
      <c r="L259" s="190">
        <f t="shared" si="29"/>
        <v>300000</v>
      </c>
      <c r="M259" s="190">
        <f>L259/I259*100</f>
        <v>100</v>
      </c>
      <c r="N259" s="253" t="s">
        <v>925</v>
      </c>
    </row>
    <row r="260" spans="1:14" ht="19.5" customHeight="1">
      <c r="A260" s="183">
        <v>4333</v>
      </c>
      <c r="B260" s="183">
        <v>3631</v>
      </c>
      <c r="C260" s="183">
        <v>6130</v>
      </c>
      <c r="D260" s="183">
        <v>33</v>
      </c>
      <c r="E260" s="207" t="s">
        <v>835</v>
      </c>
      <c r="F260" s="189">
        <v>0</v>
      </c>
      <c r="G260" s="190">
        <v>1500</v>
      </c>
      <c r="H260" s="190"/>
      <c r="I260" s="190">
        <f t="shared" si="32"/>
        <v>1500</v>
      </c>
      <c r="J260" s="190">
        <v>0</v>
      </c>
      <c r="K260" s="190">
        <v>0</v>
      </c>
      <c r="L260" s="190">
        <v>0</v>
      </c>
      <c r="M260" s="190">
        <v>0</v>
      </c>
      <c r="N260" s="253" t="s">
        <v>916</v>
      </c>
    </row>
    <row r="261" spans="1:14" ht="19.5" customHeight="1">
      <c r="A261" s="183">
        <v>562</v>
      </c>
      <c r="B261" s="183">
        <v>2321</v>
      </c>
      <c r="C261" s="183">
        <v>6130</v>
      </c>
      <c r="D261" s="183">
        <v>34</v>
      </c>
      <c r="E261" s="207" t="s">
        <v>839</v>
      </c>
      <c r="F261" s="189">
        <v>0</v>
      </c>
      <c r="G261" s="190">
        <v>206000</v>
      </c>
      <c r="H261" s="190"/>
      <c r="I261" s="190">
        <v>206000</v>
      </c>
      <c r="J261" s="190">
        <v>0</v>
      </c>
      <c r="K261" s="190">
        <v>206000</v>
      </c>
      <c r="L261" s="190">
        <f aca="true" t="shared" si="33" ref="L261:L279">J261+K261</f>
        <v>206000</v>
      </c>
      <c r="M261" s="190">
        <f>L261/I261*100</f>
        <v>100</v>
      </c>
      <c r="N261" s="253" t="s">
        <v>916</v>
      </c>
    </row>
    <row r="262" spans="1:14" ht="19.5" customHeight="1" outlineLevel="1">
      <c r="A262" s="183">
        <v>4590</v>
      </c>
      <c r="B262" s="183">
        <v>6171</v>
      </c>
      <c r="C262" s="183">
        <v>6122</v>
      </c>
      <c r="D262" s="183">
        <v>35</v>
      </c>
      <c r="E262" s="207" t="s">
        <v>957</v>
      </c>
      <c r="F262" s="189">
        <v>0</v>
      </c>
      <c r="G262" s="190">
        <v>205100</v>
      </c>
      <c r="H262" s="190"/>
      <c r="I262" s="190">
        <f>G262+H262</f>
        <v>205100</v>
      </c>
      <c r="J262" s="190">
        <v>0</v>
      </c>
      <c r="K262" s="190">
        <v>205052.5</v>
      </c>
      <c r="L262" s="190">
        <f t="shared" si="33"/>
        <v>205052.5</v>
      </c>
      <c r="M262" s="190">
        <f>L262/I262*100</f>
        <v>99.97684056557776</v>
      </c>
      <c r="N262" s="253" t="s">
        <v>916</v>
      </c>
    </row>
    <row r="263" spans="1:14" ht="19.5" customHeight="1">
      <c r="A263" s="183">
        <v>4326</v>
      </c>
      <c r="B263" s="183">
        <v>2221</v>
      </c>
      <c r="C263" s="183">
        <v>6122</v>
      </c>
      <c r="D263" s="183">
        <v>36</v>
      </c>
      <c r="E263" s="207" t="s">
        <v>850</v>
      </c>
      <c r="F263" s="189">
        <v>0</v>
      </c>
      <c r="G263" s="190">
        <v>17164508.2</v>
      </c>
      <c r="H263" s="190"/>
      <c r="I263" s="190">
        <f>G263+H263</f>
        <v>17164508.2</v>
      </c>
      <c r="J263" s="190">
        <v>0</v>
      </c>
      <c r="K263" s="190">
        <v>2191247.9</v>
      </c>
      <c r="L263" s="190">
        <f t="shared" si="33"/>
        <v>2191247.9</v>
      </c>
      <c r="M263" s="190">
        <f>L263/I263*100</f>
        <v>12.766156038190479</v>
      </c>
      <c r="N263" s="253" t="s">
        <v>916</v>
      </c>
    </row>
    <row r="264" spans="1:14" ht="19.5" customHeight="1">
      <c r="A264" s="183">
        <v>4326</v>
      </c>
      <c r="B264" s="183">
        <v>2221</v>
      </c>
      <c r="C264" s="183">
        <v>6122</v>
      </c>
      <c r="D264" s="183">
        <v>37</v>
      </c>
      <c r="E264" s="207" t="s">
        <v>850</v>
      </c>
      <c r="F264" s="189">
        <v>0</v>
      </c>
      <c r="G264" s="190"/>
      <c r="H264" s="190"/>
      <c r="I264" s="190">
        <v>0</v>
      </c>
      <c r="J264" s="190">
        <v>0</v>
      </c>
      <c r="K264" s="190">
        <v>14945083</v>
      </c>
      <c r="L264" s="190">
        <f t="shared" si="33"/>
        <v>14945083</v>
      </c>
      <c r="M264" s="190">
        <v>0</v>
      </c>
      <c r="N264" s="257" t="s">
        <v>1099</v>
      </c>
    </row>
    <row r="265" spans="1:14" ht="19.5" customHeight="1">
      <c r="A265" s="183">
        <v>4326</v>
      </c>
      <c r="B265" s="183">
        <v>2221</v>
      </c>
      <c r="C265" s="183">
        <v>6123</v>
      </c>
      <c r="D265" s="183">
        <v>38</v>
      </c>
      <c r="E265" s="207" t="s">
        <v>850</v>
      </c>
      <c r="F265" s="189">
        <v>0</v>
      </c>
      <c r="G265" s="190">
        <v>105788252</v>
      </c>
      <c r="H265" s="190"/>
      <c r="I265" s="190">
        <f aca="true" t="shared" si="34" ref="I265:I282">G265+H265</f>
        <v>105788252</v>
      </c>
      <c r="J265" s="190">
        <v>16890560.92</v>
      </c>
      <c r="K265" s="190">
        <v>21031599.4</v>
      </c>
      <c r="L265" s="190">
        <f t="shared" si="33"/>
        <v>37922160.32</v>
      </c>
      <c r="M265" s="190">
        <f>L265/I265*100</f>
        <v>35.84723218604652</v>
      </c>
      <c r="N265" s="253" t="s">
        <v>916</v>
      </c>
    </row>
    <row r="266" spans="1:14" ht="19.5" customHeight="1">
      <c r="A266" s="183">
        <v>4326</v>
      </c>
      <c r="B266" s="183">
        <v>2221</v>
      </c>
      <c r="C266" s="183">
        <v>6123</v>
      </c>
      <c r="D266" s="183">
        <v>39</v>
      </c>
      <c r="E266" s="207" t="s">
        <v>850</v>
      </c>
      <c r="F266" s="189">
        <v>0</v>
      </c>
      <c r="G266" s="190">
        <v>52325803.3</v>
      </c>
      <c r="H266" s="190"/>
      <c r="I266" s="190">
        <f t="shared" si="34"/>
        <v>52325803.3</v>
      </c>
      <c r="J266" s="190">
        <v>0</v>
      </c>
      <c r="K266" s="190">
        <v>67866089.68</v>
      </c>
      <c r="L266" s="190">
        <f t="shared" si="33"/>
        <v>67866089.68</v>
      </c>
      <c r="M266" s="190">
        <f>L266/I266*100</f>
        <v>129.69908802145426</v>
      </c>
      <c r="N266" s="257" t="s">
        <v>1099</v>
      </c>
    </row>
    <row r="267" spans="1:14" ht="19.5" customHeight="1">
      <c r="A267" s="183">
        <v>4327</v>
      </c>
      <c r="B267" s="183">
        <v>6171</v>
      </c>
      <c r="C267" s="183">
        <v>6125</v>
      </c>
      <c r="D267" s="183">
        <v>40</v>
      </c>
      <c r="E267" s="207" t="s">
        <v>849</v>
      </c>
      <c r="F267" s="189">
        <v>0</v>
      </c>
      <c r="G267" s="190">
        <v>2278648.32</v>
      </c>
      <c r="H267" s="190"/>
      <c r="I267" s="190">
        <f t="shared" si="34"/>
        <v>2278648.32</v>
      </c>
      <c r="J267" s="190">
        <v>0</v>
      </c>
      <c r="K267" s="190">
        <v>2278648.32</v>
      </c>
      <c r="L267" s="190">
        <f t="shared" si="33"/>
        <v>2278648.32</v>
      </c>
      <c r="M267" s="190">
        <f>L267/I267*100</f>
        <v>100</v>
      </c>
      <c r="N267" s="253" t="s">
        <v>916</v>
      </c>
    </row>
    <row r="268" spans="1:14" ht="19.5" customHeight="1">
      <c r="A268" s="183">
        <v>4327</v>
      </c>
      <c r="B268" s="183">
        <v>6171</v>
      </c>
      <c r="C268" s="183">
        <v>6125</v>
      </c>
      <c r="D268" s="183">
        <v>41</v>
      </c>
      <c r="E268" s="207" t="s">
        <v>849</v>
      </c>
      <c r="F268" s="189">
        <v>0</v>
      </c>
      <c r="G268" s="190">
        <v>7246314</v>
      </c>
      <c r="H268" s="190"/>
      <c r="I268" s="190">
        <f t="shared" si="34"/>
        <v>7246314</v>
      </c>
      <c r="J268" s="190">
        <v>0</v>
      </c>
      <c r="K268" s="190">
        <v>7246314</v>
      </c>
      <c r="L268" s="190">
        <f t="shared" si="33"/>
        <v>7246314</v>
      </c>
      <c r="M268" s="190">
        <f>L268/I268*100</f>
        <v>100</v>
      </c>
      <c r="N268" s="257" t="s">
        <v>1099</v>
      </c>
    </row>
    <row r="269" spans="1:14" ht="19.5" customHeight="1">
      <c r="A269" s="183">
        <v>4528</v>
      </c>
      <c r="B269" s="183">
        <v>3792</v>
      </c>
      <c r="C269" s="183">
        <v>6122</v>
      </c>
      <c r="D269" s="183">
        <v>42</v>
      </c>
      <c r="E269" s="207" t="s">
        <v>958</v>
      </c>
      <c r="F269" s="189">
        <v>200</v>
      </c>
      <c r="G269" s="190">
        <v>0</v>
      </c>
      <c r="H269" s="190"/>
      <c r="I269" s="190">
        <f t="shared" si="34"/>
        <v>0</v>
      </c>
      <c r="J269" s="190">
        <v>0</v>
      </c>
      <c r="K269" s="190">
        <v>0</v>
      </c>
      <c r="L269" s="190">
        <f t="shared" si="33"/>
        <v>0</v>
      </c>
      <c r="M269" s="190">
        <v>0</v>
      </c>
      <c r="N269" s="253" t="s">
        <v>916</v>
      </c>
    </row>
    <row r="270" spans="1:14" ht="19.5" customHeight="1">
      <c r="A270" s="183">
        <v>4683</v>
      </c>
      <c r="B270" s="183">
        <v>6171</v>
      </c>
      <c r="C270" s="183">
        <v>6123</v>
      </c>
      <c r="D270" s="183">
        <v>43</v>
      </c>
      <c r="E270" s="207" t="s">
        <v>959</v>
      </c>
      <c r="F270" s="189">
        <v>0</v>
      </c>
      <c r="G270" s="190">
        <v>252800</v>
      </c>
      <c r="H270" s="190"/>
      <c r="I270" s="190">
        <f t="shared" si="34"/>
        <v>252800</v>
      </c>
      <c r="J270" s="190">
        <v>0</v>
      </c>
      <c r="K270" s="190">
        <v>450</v>
      </c>
      <c r="L270" s="190">
        <f t="shared" si="33"/>
        <v>450</v>
      </c>
      <c r="M270" s="190">
        <f aca="true" t="shared" si="35" ref="M270:M279">L270/I270*100</f>
        <v>0.17800632911392406</v>
      </c>
      <c r="N270" s="253" t="s">
        <v>883</v>
      </c>
    </row>
    <row r="271" spans="1:14" ht="19.5" customHeight="1">
      <c r="A271" s="183">
        <v>4708</v>
      </c>
      <c r="B271" s="183">
        <v>6171</v>
      </c>
      <c r="C271" s="183">
        <v>6122</v>
      </c>
      <c r="D271" s="183">
        <v>44</v>
      </c>
      <c r="E271" s="207" t="s">
        <v>960</v>
      </c>
      <c r="F271" s="189">
        <v>0</v>
      </c>
      <c r="G271" s="190">
        <v>45207</v>
      </c>
      <c r="H271" s="190"/>
      <c r="I271" s="190">
        <f t="shared" si="34"/>
        <v>45207</v>
      </c>
      <c r="J271" s="190">
        <v>0</v>
      </c>
      <c r="K271" s="190">
        <v>45207</v>
      </c>
      <c r="L271" s="190">
        <f t="shared" si="33"/>
        <v>45207</v>
      </c>
      <c r="M271" s="190">
        <f t="shared" si="35"/>
        <v>100</v>
      </c>
      <c r="N271" s="257" t="s">
        <v>1100</v>
      </c>
    </row>
    <row r="272" spans="1:14" ht="19.5" customHeight="1">
      <c r="A272" s="183">
        <v>4651</v>
      </c>
      <c r="B272" s="183">
        <v>5212</v>
      </c>
      <c r="C272" s="183">
        <v>6122</v>
      </c>
      <c r="D272" s="183">
        <v>45</v>
      </c>
      <c r="E272" s="207" t="s">
        <v>961</v>
      </c>
      <c r="F272" s="189">
        <v>0</v>
      </c>
      <c r="G272" s="190">
        <v>150000</v>
      </c>
      <c r="H272" s="190"/>
      <c r="I272" s="190">
        <f t="shared" si="34"/>
        <v>150000</v>
      </c>
      <c r="J272" s="190">
        <v>0</v>
      </c>
      <c r="K272" s="190">
        <v>0</v>
      </c>
      <c r="L272" s="190">
        <f t="shared" si="33"/>
        <v>0</v>
      </c>
      <c r="M272" s="190">
        <f t="shared" si="35"/>
        <v>0</v>
      </c>
      <c r="N272" s="253" t="s">
        <v>925</v>
      </c>
    </row>
    <row r="273" spans="1:14" ht="19.5" customHeight="1">
      <c r="A273" s="183">
        <v>657</v>
      </c>
      <c r="B273" s="183">
        <v>2212</v>
      </c>
      <c r="C273" s="183">
        <v>6130</v>
      </c>
      <c r="D273" s="183">
        <v>46</v>
      </c>
      <c r="E273" s="207" t="s">
        <v>962</v>
      </c>
      <c r="F273" s="189">
        <v>0</v>
      </c>
      <c r="G273" s="190">
        <v>10000</v>
      </c>
      <c r="H273" s="190"/>
      <c r="I273" s="190">
        <f t="shared" si="34"/>
        <v>10000</v>
      </c>
      <c r="J273" s="190">
        <v>0</v>
      </c>
      <c r="K273" s="190">
        <v>0</v>
      </c>
      <c r="L273" s="190">
        <f t="shared" si="33"/>
        <v>0</v>
      </c>
      <c r="M273" s="190">
        <f t="shared" si="35"/>
        <v>0</v>
      </c>
      <c r="N273" s="253" t="s">
        <v>916</v>
      </c>
    </row>
    <row r="274" spans="1:14" s="200" customFormat="1" ht="20.25" customHeight="1">
      <c r="A274" s="196">
        <v>4553</v>
      </c>
      <c r="B274" s="196">
        <v>6409</v>
      </c>
      <c r="C274" s="196">
        <v>6130</v>
      </c>
      <c r="D274" s="183">
        <v>47</v>
      </c>
      <c r="E274" s="187" t="s">
        <v>963</v>
      </c>
      <c r="F274" s="227">
        <v>435</v>
      </c>
      <c r="G274" s="190">
        <v>435000</v>
      </c>
      <c r="H274" s="228"/>
      <c r="I274" s="190">
        <f t="shared" si="34"/>
        <v>435000</v>
      </c>
      <c r="J274" s="190">
        <v>0</v>
      </c>
      <c r="K274" s="190">
        <v>435000</v>
      </c>
      <c r="L274" s="190">
        <f t="shared" si="33"/>
        <v>435000</v>
      </c>
      <c r="M274" s="190">
        <f t="shared" si="35"/>
        <v>100</v>
      </c>
      <c r="N274" s="258" t="s">
        <v>883</v>
      </c>
    </row>
    <row r="275" spans="1:14" ht="20.25" customHeight="1">
      <c r="A275" s="183">
        <v>4398</v>
      </c>
      <c r="B275" s="183">
        <v>3639</v>
      </c>
      <c r="C275" s="183">
        <v>6130</v>
      </c>
      <c r="D275" s="183">
        <v>48</v>
      </c>
      <c r="E275" s="207" t="s">
        <v>964</v>
      </c>
      <c r="F275" s="209">
        <v>2000</v>
      </c>
      <c r="G275" s="190">
        <v>302000</v>
      </c>
      <c r="H275" s="190"/>
      <c r="I275" s="190">
        <f t="shared" si="34"/>
        <v>302000</v>
      </c>
      <c r="J275" s="190">
        <v>0</v>
      </c>
      <c r="K275" s="190">
        <v>0</v>
      </c>
      <c r="L275" s="190">
        <f t="shared" si="33"/>
        <v>0</v>
      </c>
      <c r="M275" s="190">
        <f t="shared" si="35"/>
        <v>0</v>
      </c>
      <c r="N275" s="253" t="s">
        <v>916</v>
      </c>
    </row>
    <row r="276" spans="1:14" ht="20.25" customHeight="1">
      <c r="A276" s="183">
        <v>753</v>
      </c>
      <c r="B276" s="183">
        <v>3639</v>
      </c>
      <c r="C276" s="183">
        <v>6130</v>
      </c>
      <c r="D276" s="183">
        <v>49</v>
      </c>
      <c r="E276" s="207" t="s">
        <v>965</v>
      </c>
      <c r="F276" s="209">
        <v>4000</v>
      </c>
      <c r="G276" s="190">
        <v>3088900</v>
      </c>
      <c r="H276" s="190"/>
      <c r="I276" s="190">
        <f t="shared" si="34"/>
        <v>3088900</v>
      </c>
      <c r="J276" s="190">
        <v>0</v>
      </c>
      <c r="K276" s="190">
        <v>1510787</v>
      </c>
      <c r="L276" s="190">
        <f t="shared" si="33"/>
        <v>1510787</v>
      </c>
      <c r="M276" s="190">
        <f t="shared" si="35"/>
        <v>48.91019456764544</v>
      </c>
      <c r="N276" s="256" t="s">
        <v>723</v>
      </c>
    </row>
    <row r="277" spans="1:14" ht="20.25" customHeight="1">
      <c r="A277" s="210">
        <v>4526</v>
      </c>
      <c r="B277" s="210">
        <v>3639</v>
      </c>
      <c r="C277" s="210">
        <v>6130</v>
      </c>
      <c r="D277" s="183">
        <v>50</v>
      </c>
      <c r="E277" s="259" t="s">
        <v>966</v>
      </c>
      <c r="F277" s="260">
        <v>4000</v>
      </c>
      <c r="G277" s="261">
        <v>4000000</v>
      </c>
      <c r="H277" s="261"/>
      <c r="I277" s="261">
        <f t="shared" si="34"/>
        <v>4000000</v>
      </c>
      <c r="J277" s="190">
        <v>0</v>
      </c>
      <c r="K277" s="261">
        <v>3610000</v>
      </c>
      <c r="L277" s="190">
        <f t="shared" si="33"/>
        <v>3610000</v>
      </c>
      <c r="M277" s="261">
        <f t="shared" si="35"/>
        <v>90.25</v>
      </c>
      <c r="N277" s="262" t="s">
        <v>723</v>
      </c>
    </row>
    <row r="278" spans="1:15" s="216" customFormat="1" ht="20.25" customHeight="1">
      <c r="A278" s="183">
        <v>1003</v>
      </c>
      <c r="B278" s="183">
        <v>2219</v>
      </c>
      <c r="C278" s="183">
        <v>6130</v>
      </c>
      <c r="D278" s="183">
        <v>51</v>
      </c>
      <c r="E278" s="207" t="s">
        <v>967</v>
      </c>
      <c r="F278" s="209">
        <v>0</v>
      </c>
      <c r="G278" s="190">
        <v>1947000</v>
      </c>
      <c r="H278" s="190"/>
      <c r="I278" s="190">
        <f t="shared" si="34"/>
        <v>1947000</v>
      </c>
      <c r="J278" s="190">
        <v>0</v>
      </c>
      <c r="K278" s="190">
        <v>1946113</v>
      </c>
      <c r="L278" s="190">
        <f t="shared" si="33"/>
        <v>1946113</v>
      </c>
      <c r="M278" s="261">
        <f t="shared" si="35"/>
        <v>99.95444273240884</v>
      </c>
      <c r="N278" s="256" t="s">
        <v>916</v>
      </c>
      <c r="O278" s="215"/>
    </row>
    <row r="279" spans="1:15" s="216" customFormat="1" ht="20.25" customHeight="1">
      <c r="A279" s="183">
        <v>1063</v>
      </c>
      <c r="B279" s="183">
        <v>2321</v>
      </c>
      <c r="C279" s="183">
        <v>6130</v>
      </c>
      <c r="D279" s="183">
        <v>52</v>
      </c>
      <c r="E279" s="207" t="s">
        <v>968</v>
      </c>
      <c r="F279" s="209">
        <v>0</v>
      </c>
      <c r="G279" s="190">
        <v>27401000</v>
      </c>
      <c r="H279" s="190"/>
      <c r="I279" s="190">
        <f t="shared" si="34"/>
        <v>27401000</v>
      </c>
      <c r="J279" s="190">
        <v>0</v>
      </c>
      <c r="K279" s="190">
        <v>27399465</v>
      </c>
      <c r="L279" s="190">
        <f t="shared" si="33"/>
        <v>27399465</v>
      </c>
      <c r="M279" s="190">
        <f t="shared" si="35"/>
        <v>99.99439801467099</v>
      </c>
      <c r="N279" s="256" t="s">
        <v>916</v>
      </c>
      <c r="O279" s="215"/>
    </row>
    <row r="280" spans="1:15" s="216" customFormat="1" ht="20.25" customHeight="1">
      <c r="A280" s="183">
        <v>978</v>
      </c>
      <c r="B280" s="183">
        <v>2321</v>
      </c>
      <c r="C280" s="183">
        <v>6130</v>
      </c>
      <c r="D280" s="183">
        <v>53</v>
      </c>
      <c r="E280" s="207" t="s">
        <v>842</v>
      </c>
      <c r="F280" s="209">
        <v>0</v>
      </c>
      <c r="G280" s="190">
        <v>23000</v>
      </c>
      <c r="H280" s="190"/>
      <c r="I280" s="190">
        <f t="shared" si="34"/>
        <v>23000</v>
      </c>
      <c r="J280" s="190">
        <v>0</v>
      </c>
      <c r="K280" s="190">
        <v>0</v>
      </c>
      <c r="L280" s="190">
        <v>0</v>
      </c>
      <c r="M280" s="190">
        <v>0</v>
      </c>
      <c r="N280" s="256" t="s">
        <v>916</v>
      </c>
      <c r="O280" s="215"/>
    </row>
    <row r="281" spans="1:14" ht="20.25" customHeight="1">
      <c r="A281" s="232">
        <v>4539</v>
      </c>
      <c r="B281" s="232">
        <v>5212</v>
      </c>
      <c r="C281" s="232">
        <v>6122</v>
      </c>
      <c r="D281" s="183">
        <v>54</v>
      </c>
      <c r="E281" s="263" t="s">
        <v>969</v>
      </c>
      <c r="F281" s="264">
        <v>250</v>
      </c>
      <c r="G281" s="265">
        <v>670000</v>
      </c>
      <c r="H281" s="265"/>
      <c r="I281" s="265">
        <f t="shared" si="34"/>
        <v>670000</v>
      </c>
      <c r="J281" s="266">
        <v>0</v>
      </c>
      <c r="K281" s="265">
        <v>669970</v>
      </c>
      <c r="L281" s="266">
        <f>J281+K281</f>
        <v>669970</v>
      </c>
      <c r="M281" s="266">
        <f>L281/I281*100</f>
        <v>99.9955223880597</v>
      </c>
      <c r="N281" s="267" t="s">
        <v>925</v>
      </c>
    </row>
    <row r="282" spans="1:15" s="274" customFormat="1" ht="20.25" customHeight="1" thickBot="1">
      <c r="A282" s="268">
        <v>4656</v>
      </c>
      <c r="B282" s="268">
        <v>6171</v>
      </c>
      <c r="C282" s="268">
        <v>6122</v>
      </c>
      <c r="D282" s="183">
        <v>55</v>
      </c>
      <c r="E282" s="269" t="s">
        <v>970</v>
      </c>
      <c r="F282" s="270">
        <v>0</v>
      </c>
      <c r="G282" s="271">
        <v>180015</v>
      </c>
      <c r="H282" s="271"/>
      <c r="I282" s="271">
        <f t="shared" si="34"/>
        <v>180015</v>
      </c>
      <c r="J282" s="190">
        <v>0</v>
      </c>
      <c r="K282" s="271">
        <v>180015</v>
      </c>
      <c r="L282" s="190">
        <f>J282+K282</f>
        <v>180015</v>
      </c>
      <c r="M282" s="266">
        <f>L282/I282*100</f>
        <v>100</v>
      </c>
      <c r="N282" s="272" t="s">
        <v>971</v>
      </c>
      <c r="O282" s="273"/>
    </row>
    <row r="283" spans="1:15" s="247" customFormat="1" ht="19.5" customHeight="1" thickBot="1">
      <c r="A283" s="241"/>
      <c r="B283" s="241"/>
      <c r="C283" s="241"/>
      <c r="D283" s="241"/>
      <c r="E283" s="275" t="s">
        <v>972</v>
      </c>
      <c r="F283" s="276">
        <f>SUM(F230:F281)</f>
        <v>26895</v>
      </c>
      <c r="G283" s="277">
        <f>SUM(G228:G282)</f>
        <v>287920475.82</v>
      </c>
      <c r="H283" s="277">
        <f>SUM(H228:H282)</f>
        <v>32000</v>
      </c>
      <c r="I283" s="277">
        <f>SUM(I228:I282)</f>
        <v>288514475.82</v>
      </c>
      <c r="J283" s="277">
        <f>SUM(J228:J281)</f>
        <v>17141991.720000003</v>
      </c>
      <c r="K283" s="277">
        <f>SUM(K228:K282)</f>
        <v>212922722.70000002</v>
      </c>
      <c r="L283" s="277">
        <f>SUM(L228:L282)</f>
        <v>230064714.42</v>
      </c>
      <c r="M283" s="278">
        <f>L283/I283*100</f>
        <v>79.74113387764086</v>
      </c>
      <c r="N283" s="245"/>
      <c r="O283" s="246"/>
    </row>
    <row r="284" spans="1:15" s="221" customFormat="1" ht="19.5" customHeight="1">
      <c r="A284" s="279"/>
      <c r="B284" s="279"/>
      <c r="C284" s="279"/>
      <c r="D284" s="279"/>
      <c r="E284" s="280"/>
      <c r="F284" s="281"/>
      <c r="G284" s="282"/>
      <c r="H284" s="282"/>
      <c r="I284" s="282"/>
      <c r="J284" s="283"/>
      <c r="K284" s="282"/>
      <c r="L284" s="282"/>
      <c r="M284" s="282"/>
      <c r="N284" s="250"/>
      <c r="O284" s="220"/>
    </row>
    <row r="285" spans="1:14" ht="19.5" customHeight="1">
      <c r="A285" s="284"/>
      <c r="B285" s="284"/>
      <c r="C285" s="284"/>
      <c r="D285" s="284"/>
      <c r="E285" s="178" t="s">
        <v>973</v>
      </c>
      <c r="F285" s="179"/>
      <c r="G285" s="179"/>
      <c r="H285" s="180"/>
      <c r="I285" s="179"/>
      <c r="J285" s="283"/>
      <c r="K285" s="179"/>
      <c r="L285" s="179"/>
      <c r="M285" s="179"/>
      <c r="N285" s="285"/>
    </row>
    <row r="286" spans="1:14" ht="19.5" customHeight="1">
      <c r="A286" s="183">
        <v>4334</v>
      </c>
      <c r="B286" s="183">
        <v>3421</v>
      </c>
      <c r="C286" s="183">
        <v>6319</v>
      </c>
      <c r="D286" s="183">
        <v>1</v>
      </c>
      <c r="E286" s="207" t="s">
        <v>974</v>
      </c>
      <c r="F286" s="189">
        <v>31000</v>
      </c>
      <c r="G286" s="190">
        <v>6430000</v>
      </c>
      <c r="H286" s="190"/>
      <c r="I286" s="190">
        <f aca="true" t="shared" si="36" ref="I286:I313">G286+H286</f>
        <v>6430000</v>
      </c>
      <c r="J286" s="190">
        <v>0</v>
      </c>
      <c r="K286" s="190">
        <v>0</v>
      </c>
      <c r="L286" s="190">
        <f aca="true" t="shared" si="37" ref="L286:L311">K286+J286</f>
        <v>0</v>
      </c>
      <c r="M286" s="190">
        <f>L286/I286*100</f>
        <v>0</v>
      </c>
      <c r="N286" s="286" t="s">
        <v>917</v>
      </c>
    </row>
    <row r="287" spans="1:14" ht="19.5" customHeight="1">
      <c r="A287" s="183">
        <v>4666</v>
      </c>
      <c r="B287" s="183">
        <v>3421</v>
      </c>
      <c r="C287" s="183">
        <v>6319</v>
      </c>
      <c r="D287" s="183">
        <v>2</v>
      </c>
      <c r="E287" s="207" t="s">
        <v>975</v>
      </c>
      <c r="F287" s="189">
        <v>0</v>
      </c>
      <c r="G287" s="190">
        <v>2282000</v>
      </c>
      <c r="H287" s="190"/>
      <c r="I287" s="190">
        <f t="shared" si="36"/>
        <v>2282000</v>
      </c>
      <c r="J287" s="190">
        <v>0</v>
      </c>
      <c r="K287" s="190">
        <v>2281347</v>
      </c>
      <c r="L287" s="190">
        <f t="shared" si="37"/>
        <v>2281347</v>
      </c>
      <c r="M287" s="190">
        <f>L287/I287*100</f>
        <v>99.9713847502191</v>
      </c>
      <c r="N287" s="286" t="s">
        <v>917</v>
      </c>
    </row>
    <row r="288" spans="1:14" ht="27.75" customHeight="1">
      <c r="A288" s="183">
        <v>735</v>
      </c>
      <c r="B288" s="183">
        <v>2212</v>
      </c>
      <c r="C288" s="183">
        <v>6313</v>
      </c>
      <c r="D288" s="183">
        <v>3</v>
      </c>
      <c r="E288" s="184" t="s">
        <v>711</v>
      </c>
      <c r="F288" s="185">
        <v>500</v>
      </c>
      <c r="G288" s="190">
        <v>0</v>
      </c>
      <c r="H288" s="186"/>
      <c r="I288" s="190">
        <f t="shared" si="36"/>
        <v>0</v>
      </c>
      <c r="J288" s="190">
        <v>0</v>
      </c>
      <c r="K288" s="190">
        <v>0</v>
      </c>
      <c r="L288" s="190">
        <f t="shared" si="37"/>
        <v>0</v>
      </c>
      <c r="M288" s="190">
        <v>0</v>
      </c>
      <c r="N288" s="286" t="s">
        <v>976</v>
      </c>
    </row>
    <row r="289" spans="1:14" s="200" customFormat="1" ht="20.25" customHeight="1">
      <c r="A289" s="196">
        <v>4545</v>
      </c>
      <c r="B289" s="196">
        <v>2221</v>
      </c>
      <c r="C289" s="196">
        <v>6123</v>
      </c>
      <c r="D289" s="183">
        <v>4</v>
      </c>
      <c r="E289" s="187" t="s">
        <v>977</v>
      </c>
      <c r="F289" s="227">
        <v>40</v>
      </c>
      <c r="G289" s="190">
        <v>0</v>
      </c>
      <c r="H289" s="228"/>
      <c r="I289" s="190">
        <f t="shared" si="36"/>
        <v>0</v>
      </c>
      <c r="J289" s="190">
        <v>0</v>
      </c>
      <c r="K289" s="190">
        <v>0</v>
      </c>
      <c r="L289" s="190">
        <f t="shared" si="37"/>
        <v>0</v>
      </c>
      <c r="M289" s="190">
        <v>0</v>
      </c>
      <c r="N289" s="258" t="s">
        <v>883</v>
      </c>
    </row>
    <row r="290" spans="1:14" s="200" customFormat="1" ht="20.25" customHeight="1">
      <c r="A290" s="196">
        <v>4545</v>
      </c>
      <c r="B290" s="196">
        <v>2221</v>
      </c>
      <c r="C290" s="196">
        <v>6313</v>
      </c>
      <c r="D290" s="183">
        <v>5</v>
      </c>
      <c r="E290" s="187" t="s">
        <v>977</v>
      </c>
      <c r="F290" s="227">
        <v>0</v>
      </c>
      <c r="G290" s="190">
        <v>40000</v>
      </c>
      <c r="H290" s="228"/>
      <c r="I290" s="190">
        <f t="shared" si="36"/>
        <v>40000</v>
      </c>
      <c r="J290" s="190">
        <v>0</v>
      </c>
      <c r="K290" s="190">
        <v>40000</v>
      </c>
      <c r="L290" s="190">
        <f t="shared" si="37"/>
        <v>40000</v>
      </c>
      <c r="M290" s="190">
        <f>L290/I290*100</f>
        <v>100</v>
      </c>
      <c r="N290" s="258" t="s">
        <v>883</v>
      </c>
    </row>
    <row r="291" spans="1:14" s="200" customFormat="1" ht="20.25" customHeight="1">
      <c r="A291" s="196">
        <v>4546</v>
      </c>
      <c r="B291" s="196">
        <v>2221</v>
      </c>
      <c r="C291" s="196">
        <v>6123</v>
      </c>
      <c r="D291" s="183">
        <v>6</v>
      </c>
      <c r="E291" s="187" t="s">
        <v>978</v>
      </c>
      <c r="F291" s="227">
        <v>20</v>
      </c>
      <c r="G291" s="190">
        <v>0</v>
      </c>
      <c r="H291" s="228"/>
      <c r="I291" s="190">
        <f t="shared" si="36"/>
        <v>0</v>
      </c>
      <c r="J291" s="190">
        <v>0</v>
      </c>
      <c r="K291" s="190"/>
      <c r="L291" s="190">
        <f t="shared" si="37"/>
        <v>0</v>
      </c>
      <c r="M291" s="190">
        <v>0</v>
      </c>
      <c r="N291" s="258" t="s">
        <v>883</v>
      </c>
    </row>
    <row r="292" spans="1:14" s="200" customFormat="1" ht="20.25" customHeight="1">
      <c r="A292" s="196">
        <v>4546</v>
      </c>
      <c r="B292" s="196">
        <v>2221</v>
      </c>
      <c r="C292" s="196">
        <v>6313</v>
      </c>
      <c r="D292" s="183">
        <v>7</v>
      </c>
      <c r="E292" s="187" t="s">
        <v>978</v>
      </c>
      <c r="F292" s="227">
        <v>0</v>
      </c>
      <c r="G292" s="190">
        <v>20000</v>
      </c>
      <c r="H292" s="228"/>
      <c r="I292" s="190">
        <f t="shared" si="36"/>
        <v>20000</v>
      </c>
      <c r="J292" s="190">
        <v>0</v>
      </c>
      <c r="K292" s="190">
        <v>20000</v>
      </c>
      <c r="L292" s="190">
        <f t="shared" si="37"/>
        <v>20000</v>
      </c>
      <c r="M292" s="190">
        <f>L292/I292*100</f>
        <v>100</v>
      </c>
      <c r="N292" s="258" t="s">
        <v>883</v>
      </c>
    </row>
    <row r="293" spans="1:14" s="188" customFormat="1" ht="20.25" customHeight="1">
      <c r="A293" s="183">
        <v>4544</v>
      </c>
      <c r="B293" s="183">
        <v>2221</v>
      </c>
      <c r="C293" s="183">
        <v>6123</v>
      </c>
      <c r="D293" s="183">
        <v>8</v>
      </c>
      <c r="E293" s="184" t="s">
        <v>979</v>
      </c>
      <c r="F293" s="185">
        <v>30</v>
      </c>
      <c r="G293" s="190">
        <v>0</v>
      </c>
      <c r="H293" s="186"/>
      <c r="I293" s="190">
        <f t="shared" si="36"/>
        <v>0</v>
      </c>
      <c r="J293" s="190">
        <v>0</v>
      </c>
      <c r="K293" s="190"/>
      <c r="L293" s="190">
        <f t="shared" si="37"/>
        <v>0</v>
      </c>
      <c r="M293" s="190">
        <v>0</v>
      </c>
      <c r="N293" s="258" t="s">
        <v>883</v>
      </c>
    </row>
    <row r="294" spans="1:14" s="188" customFormat="1" ht="20.25" customHeight="1">
      <c r="A294" s="183">
        <v>4544</v>
      </c>
      <c r="B294" s="183">
        <v>2221</v>
      </c>
      <c r="C294" s="183">
        <v>6313</v>
      </c>
      <c r="D294" s="183">
        <v>9</v>
      </c>
      <c r="E294" s="184" t="s">
        <v>979</v>
      </c>
      <c r="F294" s="185">
        <v>0</v>
      </c>
      <c r="G294" s="190">
        <v>30000</v>
      </c>
      <c r="H294" s="186"/>
      <c r="I294" s="190">
        <f t="shared" si="36"/>
        <v>30000</v>
      </c>
      <c r="J294" s="190">
        <v>0</v>
      </c>
      <c r="K294" s="190">
        <v>30000</v>
      </c>
      <c r="L294" s="190">
        <f t="shared" si="37"/>
        <v>30000</v>
      </c>
      <c r="M294" s="190">
        <f>L294/I294*100</f>
        <v>100</v>
      </c>
      <c r="N294" s="258" t="s">
        <v>883</v>
      </c>
    </row>
    <row r="295" spans="1:14" s="188" customFormat="1" ht="20.25" customHeight="1">
      <c r="A295" s="183">
        <v>4543</v>
      </c>
      <c r="B295" s="183">
        <v>2221</v>
      </c>
      <c r="C295" s="183">
        <v>6123</v>
      </c>
      <c r="D295" s="183">
        <v>10</v>
      </c>
      <c r="E295" s="184" t="s">
        <v>980</v>
      </c>
      <c r="F295" s="185">
        <v>15000</v>
      </c>
      <c r="G295" s="190">
        <v>0</v>
      </c>
      <c r="H295" s="186"/>
      <c r="I295" s="190">
        <f t="shared" si="36"/>
        <v>0</v>
      </c>
      <c r="J295" s="190">
        <v>0</v>
      </c>
      <c r="K295" s="190">
        <v>0</v>
      </c>
      <c r="L295" s="190">
        <f t="shared" si="37"/>
        <v>0</v>
      </c>
      <c r="M295" s="190">
        <v>0</v>
      </c>
      <c r="N295" s="258" t="s">
        <v>883</v>
      </c>
    </row>
    <row r="296" spans="1:14" s="188" customFormat="1" ht="18" customHeight="1">
      <c r="A296" s="183">
        <v>4543</v>
      </c>
      <c r="B296" s="183">
        <v>2221</v>
      </c>
      <c r="C296" s="183">
        <v>6313</v>
      </c>
      <c r="D296" s="183">
        <v>11</v>
      </c>
      <c r="E296" s="184" t="s">
        <v>980</v>
      </c>
      <c r="F296" s="185">
        <v>0</v>
      </c>
      <c r="G296" s="190">
        <v>15000000</v>
      </c>
      <c r="H296" s="186"/>
      <c r="I296" s="190">
        <f t="shared" si="36"/>
        <v>15000000</v>
      </c>
      <c r="J296" s="190">
        <v>0</v>
      </c>
      <c r="K296" s="190">
        <v>15000000</v>
      </c>
      <c r="L296" s="190">
        <f t="shared" si="37"/>
        <v>15000000</v>
      </c>
      <c r="M296" s="190">
        <f aca="true" t="shared" si="38" ref="M296:M305">L296/I296*100</f>
        <v>100</v>
      </c>
      <c r="N296" s="258" t="s">
        <v>883</v>
      </c>
    </row>
    <row r="297" spans="1:14" s="188" customFormat="1" ht="27.75" customHeight="1">
      <c r="A297" s="183">
        <v>4665</v>
      </c>
      <c r="B297" s="183">
        <v>2219</v>
      </c>
      <c r="C297" s="183">
        <v>6313</v>
      </c>
      <c r="D297" s="183">
        <v>12</v>
      </c>
      <c r="E297" s="287" t="s">
        <v>981</v>
      </c>
      <c r="F297" s="185">
        <v>0</v>
      </c>
      <c r="G297" s="190">
        <v>789000</v>
      </c>
      <c r="H297" s="186"/>
      <c r="I297" s="190">
        <f t="shared" si="36"/>
        <v>789000</v>
      </c>
      <c r="J297" s="190">
        <v>0</v>
      </c>
      <c r="K297" s="190">
        <v>788905</v>
      </c>
      <c r="L297" s="190">
        <f t="shared" si="37"/>
        <v>788905</v>
      </c>
      <c r="M297" s="190">
        <f t="shared" si="38"/>
        <v>99.98795944233207</v>
      </c>
      <c r="N297" s="258" t="s">
        <v>916</v>
      </c>
    </row>
    <row r="298" spans="1:14" s="188" customFormat="1" ht="29.25" customHeight="1">
      <c r="A298" s="183">
        <v>4627</v>
      </c>
      <c r="B298" s="183">
        <v>3419</v>
      </c>
      <c r="C298" s="183">
        <v>6322</v>
      </c>
      <c r="D298" s="183">
        <v>13</v>
      </c>
      <c r="E298" s="184" t="s">
        <v>982</v>
      </c>
      <c r="F298" s="185">
        <v>0</v>
      </c>
      <c r="G298" s="190">
        <v>500000</v>
      </c>
      <c r="H298" s="186"/>
      <c r="I298" s="190">
        <f t="shared" si="36"/>
        <v>500000</v>
      </c>
      <c r="J298" s="190">
        <v>0</v>
      </c>
      <c r="K298" s="190">
        <v>500000</v>
      </c>
      <c r="L298" s="190">
        <f t="shared" si="37"/>
        <v>500000</v>
      </c>
      <c r="M298" s="190">
        <f t="shared" si="38"/>
        <v>100</v>
      </c>
      <c r="N298" s="288" t="s">
        <v>983</v>
      </c>
    </row>
    <row r="299" spans="1:14" s="188" customFormat="1" ht="37.5" customHeight="1">
      <c r="A299" s="183">
        <v>4618</v>
      </c>
      <c r="B299" s="183">
        <v>3549</v>
      </c>
      <c r="C299" s="183">
        <v>6359</v>
      </c>
      <c r="D299" s="183">
        <v>14</v>
      </c>
      <c r="E299" s="287" t="s">
        <v>984</v>
      </c>
      <c r="F299" s="185">
        <v>0</v>
      </c>
      <c r="G299" s="190">
        <v>640000</v>
      </c>
      <c r="H299" s="186"/>
      <c r="I299" s="190">
        <f t="shared" si="36"/>
        <v>640000</v>
      </c>
      <c r="J299" s="190">
        <v>0</v>
      </c>
      <c r="K299" s="190">
        <v>640000</v>
      </c>
      <c r="L299" s="190">
        <f t="shared" si="37"/>
        <v>640000</v>
      </c>
      <c r="M299" s="190">
        <f t="shared" si="38"/>
        <v>100</v>
      </c>
      <c r="N299" s="288" t="s">
        <v>985</v>
      </c>
    </row>
    <row r="300" spans="1:14" s="188" customFormat="1" ht="30.75" customHeight="1">
      <c r="A300" s="183">
        <v>4617</v>
      </c>
      <c r="B300" s="183">
        <v>3549</v>
      </c>
      <c r="C300" s="183">
        <v>6359</v>
      </c>
      <c r="D300" s="183">
        <v>15</v>
      </c>
      <c r="E300" s="287" t="s">
        <v>986</v>
      </c>
      <c r="F300" s="185">
        <v>0</v>
      </c>
      <c r="G300" s="190">
        <v>1980000</v>
      </c>
      <c r="H300" s="186"/>
      <c r="I300" s="190">
        <f t="shared" si="36"/>
        <v>1980000</v>
      </c>
      <c r="J300" s="190">
        <v>0</v>
      </c>
      <c r="K300" s="190">
        <v>1980000</v>
      </c>
      <c r="L300" s="190">
        <f t="shared" si="37"/>
        <v>1980000</v>
      </c>
      <c r="M300" s="190">
        <f t="shared" si="38"/>
        <v>100</v>
      </c>
      <c r="N300" s="288" t="s">
        <v>987</v>
      </c>
    </row>
    <row r="301" spans="1:14" s="188" customFormat="1" ht="21" customHeight="1">
      <c r="A301" s="183">
        <v>4679</v>
      </c>
      <c r="B301" s="183">
        <v>3113</v>
      </c>
      <c r="C301" s="183">
        <v>6351</v>
      </c>
      <c r="D301" s="183">
        <v>16</v>
      </c>
      <c r="E301" s="287" t="s">
        <v>988</v>
      </c>
      <c r="F301" s="185">
        <v>0</v>
      </c>
      <c r="G301" s="190">
        <v>817318.32</v>
      </c>
      <c r="H301" s="186"/>
      <c r="I301" s="190">
        <f t="shared" si="36"/>
        <v>817318.32</v>
      </c>
      <c r="J301" s="190">
        <v>0</v>
      </c>
      <c r="K301" s="190">
        <v>817318.32</v>
      </c>
      <c r="L301" s="190">
        <f t="shared" si="37"/>
        <v>817318.32</v>
      </c>
      <c r="M301" s="190">
        <f t="shared" si="38"/>
        <v>100</v>
      </c>
      <c r="N301" s="288" t="s">
        <v>921</v>
      </c>
    </row>
    <row r="302" spans="1:14" s="188" customFormat="1" ht="21" customHeight="1">
      <c r="A302" s="183">
        <v>4681</v>
      </c>
      <c r="B302" s="183">
        <v>3311</v>
      </c>
      <c r="C302" s="183">
        <v>6351</v>
      </c>
      <c r="D302" s="183">
        <v>17</v>
      </c>
      <c r="E302" s="287" t="s">
        <v>989</v>
      </c>
      <c r="F302" s="185">
        <v>0</v>
      </c>
      <c r="G302" s="190">
        <v>1280000</v>
      </c>
      <c r="H302" s="186"/>
      <c r="I302" s="190">
        <f t="shared" si="36"/>
        <v>1280000</v>
      </c>
      <c r="J302" s="190">
        <v>0</v>
      </c>
      <c r="K302" s="190">
        <v>1280000</v>
      </c>
      <c r="L302" s="190">
        <f t="shared" si="37"/>
        <v>1280000</v>
      </c>
      <c r="M302" s="190">
        <f t="shared" si="38"/>
        <v>100</v>
      </c>
      <c r="N302" s="288" t="s">
        <v>990</v>
      </c>
    </row>
    <row r="303" spans="1:14" s="188" customFormat="1" ht="30.75" customHeight="1">
      <c r="A303" s="183">
        <v>4633</v>
      </c>
      <c r="B303" s="183">
        <v>3521</v>
      </c>
      <c r="C303" s="183">
        <v>6359</v>
      </c>
      <c r="D303" s="183">
        <v>18</v>
      </c>
      <c r="E303" s="287" t="s">
        <v>991</v>
      </c>
      <c r="F303" s="185">
        <v>0</v>
      </c>
      <c r="G303" s="190">
        <v>200000</v>
      </c>
      <c r="H303" s="186"/>
      <c r="I303" s="190">
        <f t="shared" si="36"/>
        <v>200000</v>
      </c>
      <c r="J303" s="190">
        <v>0</v>
      </c>
      <c r="K303" s="190">
        <v>200000</v>
      </c>
      <c r="L303" s="190">
        <f t="shared" si="37"/>
        <v>200000</v>
      </c>
      <c r="M303" s="190">
        <f t="shared" si="38"/>
        <v>100</v>
      </c>
      <c r="N303" s="288" t="s">
        <v>992</v>
      </c>
    </row>
    <row r="304" spans="1:14" s="188" customFormat="1" ht="30.75" customHeight="1">
      <c r="A304" s="183">
        <v>4619</v>
      </c>
      <c r="B304" s="183">
        <v>3549</v>
      </c>
      <c r="C304" s="183">
        <v>6313</v>
      </c>
      <c r="D304" s="183">
        <v>19</v>
      </c>
      <c r="E304" s="287" t="s">
        <v>993</v>
      </c>
      <c r="F304" s="185">
        <v>0</v>
      </c>
      <c r="G304" s="190">
        <v>150000</v>
      </c>
      <c r="H304" s="186"/>
      <c r="I304" s="190">
        <f t="shared" si="36"/>
        <v>150000</v>
      </c>
      <c r="J304" s="190">
        <v>0</v>
      </c>
      <c r="K304" s="190">
        <v>150000</v>
      </c>
      <c r="L304" s="190">
        <f t="shared" si="37"/>
        <v>150000</v>
      </c>
      <c r="M304" s="190">
        <f t="shared" si="38"/>
        <v>100</v>
      </c>
      <c r="N304" s="288" t="s">
        <v>985</v>
      </c>
    </row>
    <row r="305" spans="1:14" s="188" customFormat="1" ht="29.25" customHeight="1">
      <c r="A305" s="183">
        <v>4606</v>
      </c>
      <c r="B305" s="183">
        <v>4319</v>
      </c>
      <c r="C305" s="183">
        <v>6322</v>
      </c>
      <c r="D305" s="183">
        <v>20</v>
      </c>
      <c r="E305" s="184" t="s">
        <v>994</v>
      </c>
      <c r="F305" s="185">
        <v>0</v>
      </c>
      <c r="G305" s="190">
        <v>286000</v>
      </c>
      <c r="H305" s="186"/>
      <c r="I305" s="190">
        <f t="shared" si="36"/>
        <v>286000</v>
      </c>
      <c r="J305" s="190">
        <v>0</v>
      </c>
      <c r="K305" s="190">
        <v>286000</v>
      </c>
      <c r="L305" s="190">
        <f t="shared" si="37"/>
        <v>286000</v>
      </c>
      <c r="M305" s="190">
        <f t="shared" si="38"/>
        <v>100</v>
      </c>
      <c r="N305" s="288" t="s">
        <v>985</v>
      </c>
    </row>
    <row r="306" spans="1:14" ht="19.5" customHeight="1">
      <c r="A306" s="183">
        <v>4554</v>
      </c>
      <c r="B306" s="183">
        <v>5511</v>
      </c>
      <c r="C306" s="183">
        <v>6331</v>
      </c>
      <c r="D306" s="183">
        <v>21</v>
      </c>
      <c r="E306" s="184" t="s">
        <v>995</v>
      </c>
      <c r="F306" s="185">
        <v>7500</v>
      </c>
      <c r="G306" s="190">
        <v>0</v>
      </c>
      <c r="H306" s="186"/>
      <c r="I306" s="190">
        <f t="shared" si="36"/>
        <v>0</v>
      </c>
      <c r="J306" s="190">
        <v>0</v>
      </c>
      <c r="K306" s="190">
        <v>0</v>
      </c>
      <c r="L306" s="190">
        <f t="shared" si="37"/>
        <v>0</v>
      </c>
      <c r="M306" s="190">
        <v>0</v>
      </c>
      <c r="N306" s="289" t="s">
        <v>925</v>
      </c>
    </row>
    <row r="307" spans="1:14" s="188" customFormat="1" ht="19.5" customHeight="1">
      <c r="A307" s="290">
        <v>4547</v>
      </c>
      <c r="B307" s="290">
        <v>3312</v>
      </c>
      <c r="C307" s="290">
        <v>6122</v>
      </c>
      <c r="D307" s="183">
        <v>22</v>
      </c>
      <c r="E307" s="184" t="s">
        <v>996</v>
      </c>
      <c r="F307" s="185">
        <v>1900</v>
      </c>
      <c r="G307" s="190">
        <v>0</v>
      </c>
      <c r="H307" s="186"/>
      <c r="I307" s="190">
        <f t="shared" si="36"/>
        <v>0</v>
      </c>
      <c r="J307" s="190">
        <v>0</v>
      </c>
      <c r="K307" s="190">
        <v>0</v>
      </c>
      <c r="L307" s="190">
        <f t="shared" si="37"/>
        <v>0</v>
      </c>
      <c r="M307" s="190">
        <v>0</v>
      </c>
      <c r="N307" s="258" t="s">
        <v>990</v>
      </c>
    </row>
    <row r="308" spans="1:14" s="188" customFormat="1" ht="19.5" customHeight="1">
      <c r="A308" s="290">
        <v>4547</v>
      </c>
      <c r="B308" s="290">
        <v>3312</v>
      </c>
      <c r="C308" s="290">
        <v>6351</v>
      </c>
      <c r="D308" s="183">
        <v>23</v>
      </c>
      <c r="E308" s="184" t="s">
        <v>996</v>
      </c>
      <c r="F308" s="185">
        <v>0</v>
      </c>
      <c r="G308" s="190">
        <v>2129000</v>
      </c>
      <c r="H308" s="186"/>
      <c r="I308" s="190">
        <f t="shared" si="36"/>
        <v>2129000</v>
      </c>
      <c r="J308" s="190">
        <v>0</v>
      </c>
      <c r="K308" s="190">
        <v>2129000</v>
      </c>
      <c r="L308" s="190">
        <f t="shared" si="37"/>
        <v>2129000</v>
      </c>
      <c r="M308" s="190">
        <f aca="true" t="shared" si="39" ref="M308:M319">L308/I308*100</f>
        <v>100</v>
      </c>
      <c r="N308" s="258" t="s">
        <v>990</v>
      </c>
    </row>
    <row r="309" spans="1:14" s="188" customFormat="1" ht="30.75" customHeight="1">
      <c r="A309" s="290">
        <v>4604</v>
      </c>
      <c r="B309" s="290">
        <v>4319</v>
      </c>
      <c r="C309" s="290">
        <v>6313</v>
      </c>
      <c r="D309" s="183">
        <v>24</v>
      </c>
      <c r="E309" s="184" t="s">
        <v>997</v>
      </c>
      <c r="F309" s="185">
        <v>0</v>
      </c>
      <c r="G309" s="190">
        <v>144000</v>
      </c>
      <c r="H309" s="186"/>
      <c r="I309" s="190">
        <f t="shared" si="36"/>
        <v>144000</v>
      </c>
      <c r="J309" s="190">
        <v>0</v>
      </c>
      <c r="K309" s="190">
        <v>141242.5</v>
      </c>
      <c r="L309" s="190">
        <f t="shared" si="37"/>
        <v>141242.5</v>
      </c>
      <c r="M309" s="190">
        <f t="shared" si="39"/>
        <v>98.08506944444444</v>
      </c>
      <c r="N309" s="288" t="s">
        <v>998</v>
      </c>
    </row>
    <row r="310" spans="1:14" s="188" customFormat="1" ht="34.5" customHeight="1">
      <c r="A310" s="290">
        <v>4491</v>
      </c>
      <c r="B310" s="290">
        <v>4319</v>
      </c>
      <c r="C310" s="290">
        <v>6322</v>
      </c>
      <c r="D310" s="183">
        <v>25</v>
      </c>
      <c r="E310" s="287" t="s">
        <v>999</v>
      </c>
      <c r="F310" s="185">
        <v>0</v>
      </c>
      <c r="G310" s="190">
        <v>1528800</v>
      </c>
      <c r="H310" s="186"/>
      <c r="I310" s="190">
        <f t="shared" si="36"/>
        <v>1528800</v>
      </c>
      <c r="J310" s="190">
        <v>0</v>
      </c>
      <c r="K310" s="190">
        <v>1528770</v>
      </c>
      <c r="L310" s="190">
        <f t="shared" si="37"/>
        <v>1528770</v>
      </c>
      <c r="M310" s="190">
        <f t="shared" si="39"/>
        <v>99.9980376766091</v>
      </c>
      <c r="N310" s="288" t="s">
        <v>998</v>
      </c>
    </row>
    <row r="311" spans="1:14" s="188" customFormat="1" ht="27.75" customHeight="1">
      <c r="A311" s="290">
        <v>4605</v>
      </c>
      <c r="B311" s="290">
        <v>4319</v>
      </c>
      <c r="C311" s="290">
        <v>6313</v>
      </c>
      <c r="D311" s="183">
        <v>26</v>
      </c>
      <c r="E311" s="287" t="s">
        <v>1000</v>
      </c>
      <c r="F311" s="185">
        <v>0</v>
      </c>
      <c r="G311" s="190">
        <v>70000</v>
      </c>
      <c r="H311" s="186"/>
      <c r="I311" s="190">
        <f t="shared" si="36"/>
        <v>70000</v>
      </c>
      <c r="J311" s="190">
        <v>0</v>
      </c>
      <c r="K311" s="190">
        <v>0</v>
      </c>
      <c r="L311" s="190">
        <f t="shared" si="37"/>
        <v>0</v>
      </c>
      <c r="M311" s="190">
        <f t="shared" si="39"/>
        <v>0</v>
      </c>
      <c r="N311" s="288" t="s">
        <v>998</v>
      </c>
    </row>
    <row r="312" spans="1:15" s="292" customFormat="1" ht="26.25" customHeight="1">
      <c r="A312" s="183">
        <v>4555</v>
      </c>
      <c r="B312" s="183">
        <v>3326</v>
      </c>
      <c r="C312" s="183">
        <v>6323</v>
      </c>
      <c r="D312" s="183">
        <v>27</v>
      </c>
      <c r="E312" s="184" t="s">
        <v>1001</v>
      </c>
      <c r="F312" s="185">
        <v>300</v>
      </c>
      <c r="G312" s="190">
        <v>300000</v>
      </c>
      <c r="H312" s="186"/>
      <c r="I312" s="190">
        <f t="shared" si="36"/>
        <v>300000</v>
      </c>
      <c r="J312" s="190">
        <v>0</v>
      </c>
      <c r="K312" s="190">
        <v>300000</v>
      </c>
      <c r="L312" s="190">
        <v>300000</v>
      </c>
      <c r="M312" s="190">
        <f t="shared" si="39"/>
        <v>100</v>
      </c>
      <c r="N312" s="286" t="s">
        <v>938</v>
      </c>
      <c r="O312" s="291"/>
    </row>
    <row r="313" spans="1:15" s="292" customFormat="1" ht="35.25" customHeight="1">
      <c r="A313" s="183">
        <v>4616</v>
      </c>
      <c r="B313" s="183">
        <v>3549</v>
      </c>
      <c r="C313" s="183">
        <v>6359</v>
      </c>
      <c r="D313" s="183">
        <v>28</v>
      </c>
      <c r="E313" s="287" t="s">
        <v>1002</v>
      </c>
      <c r="F313" s="185">
        <v>0</v>
      </c>
      <c r="G313" s="190">
        <v>90000</v>
      </c>
      <c r="H313" s="186"/>
      <c r="I313" s="190">
        <f t="shared" si="36"/>
        <v>90000</v>
      </c>
      <c r="J313" s="190">
        <v>0</v>
      </c>
      <c r="K313" s="190">
        <v>90000</v>
      </c>
      <c r="L313" s="190">
        <f aca="true" t="shared" si="40" ref="L313:L331">K313+J313</f>
        <v>90000</v>
      </c>
      <c r="M313" s="190">
        <f t="shared" si="39"/>
        <v>100</v>
      </c>
      <c r="N313" s="286" t="s">
        <v>1003</v>
      </c>
      <c r="O313" s="291"/>
    </row>
    <row r="314" spans="1:15" s="292" customFormat="1" ht="35.25" customHeight="1">
      <c r="A314" s="183">
        <v>4653</v>
      </c>
      <c r="B314" s="183">
        <v>3429</v>
      </c>
      <c r="C314" s="183">
        <v>6313</v>
      </c>
      <c r="D314" s="183">
        <v>29</v>
      </c>
      <c r="E314" s="287" t="s">
        <v>1004</v>
      </c>
      <c r="F314" s="185">
        <v>0</v>
      </c>
      <c r="G314" s="190">
        <v>80000</v>
      </c>
      <c r="H314" s="186"/>
      <c r="I314" s="190">
        <v>80000</v>
      </c>
      <c r="J314" s="190">
        <v>0</v>
      </c>
      <c r="K314" s="190">
        <v>80000</v>
      </c>
      <c r="L314" s="190">
        <f t="shared" si="40"/>
        <v>80000</v>
      </c>
      <c r="M314" s="190">
        <f t="shared" si="39"/>
        <v>100</v>
      </c>
      <c r="N314" s="286" t="s">
        <v>983</v>
      </c>
      <c r="O314" s="291"/>
    </row>
    <row r="315" spans="1:15" s="292" customFormat="1" ht="30.75" customHeight="1">
      <c r="A315" s="183">
        <v>4626</v>
      </c>
      <c r="B315" s="183">
        <v>5311</v>
      </c>
      <c r="C315" s="183">
        <v>6313</v>
      </c>
      <c r="D315" s="183">
        <v>30</v>
      </c>
      <c r="E315" s="287" t="s">
        <v>1005</v>
      </c>
      <c r="F315" s="185">
        <v>0</v>
      </c>
      <c r="G315" s="190">
        <v>95000</v>
      </c>
      <c r="H315" s="186"/>
      <c r="I315" s="190">
        <f aca="true" t="shared" si="41" ref="I315:I331">G315+H315</f>
        <v>95000</v>
      </c>
      <c r="J315" s="190">
        <v>0</v>
      </c>
      <c r="K315" s="190">
        <v>95000</v>
      </c>
      <c r="L315" s="190">
        <f t="shared" si="40"/>
        <v>95000</v>
      </c>
      <c r="M315" s="190">
        <f t="shared" si="39"/>
        <v>100</v>
      </c>
      <c r="N315" s="286" t="s">
        <v>976</v>
      </c>
      <c r="O315" s="291"/>
    </row>
    <row r="316" spans="1:15" s="292" customFormat="1" ht="30.75" customHeight="1">
      <c r="A316" s="183">
        <v>4452</v>
      </c>
      <c r="B316" s="183">
        <v>4319</v>
      </c>
      <c r="C316" s="183">
        <v>6322</v>
      </c>
      <c r="D316" s="183">
        <v>31</v>
      </c>
      <c r="E316" s="287" t="s">
        <v>1006</v>
      </c>
      <c r="F316" s="185">
        <v>0</v>
      </c>
      <c r="G316" s="190">
        <v>500000</v>
      </c>
      <c r="H316" s="186"/>
      <c r="I316" s="190">
        <f t="shared" si="41"/>
        <v>500000</v>
      </c>
      <c r="J316" s="190">
        <v>0</v>
      </c>
      <c r="K316" s="190">
        <v>500000</v>
      </c>
      <c r="L316" s="190">
        <f t="shared" si="40"/>
        <v>500000</v>
      </c>
      <c r="M316" s="190">
        <f t="shared" si="39"/>
        <v>100</v>
      </c>
      <c r="N316" s="286" t="s">
        <v>976</v>
      </c>
      <c r="O316" s="291"/>
    </row>
    <row r="317" spans="1:15" s="292" customFormat="1" ht="29.25" customHeight="1">
      <c r="A317" s="183">
        <v>4646</v>
      </c>
      <c r="B317" s="183">
        <v>3419</v>
      </c>
      <c r="C317" s="183">
        <v>6329</v>
      </c>
      <c r="D317" s="183">
        <v>32</v>
      </c>
      <c r="E317" s="287" t="s">
        <v>1007</v>
      </c>
      <c r="F317" s="185">
        <v>0</v>
      </c>
      <c r="G317" s="190">
        <v>50000</v>
      </c>
      <c r="H317" s="186"/>
      <c r="I317" s="190">
        <f t="shared" si="41"/>
        <v>50000</v>
      </c>
      <c r="J317" s="190">
        <v>0</v>
      </c>
      <c r="K317" s="190">
        <v>50000</v>
      </c>
      <c r="L317" s="190">
        <f t="shared" si="40"/>
        <v>50000</v>
      </c>
      <c r="M317" s="190">
        <f t="shared" si="39"/>
        <v>100</v>
      </c>
      <c r="N317" s="286" t="s">
        <v>1008</v>
      </c>
      <c r="O317" s="291"/>
    </row>
    <row r="318" spans="1:14" ht="30.75" customHeight="1">
      <c r="A318" s="183">
        <v>59</v>
      </c>
      <c r="B318" s="183">
        <v>2321</v>
      </c>
      <c r="C318" s="183">
        <v>6349</v>
      </c>
      <c r="D318" s="183">
        <v>33</v>
      </c>
      <c r="E318" s="184" t="s">
        <v>1009</v>
      </c>
      <c r="F318" s="185">
        <v>1100</v>
      </c>
      <c r="G318" s="190">
        <v>1100000</v>
      </c>
      <c r="H318" s="186"/>
      <c r="I318" s="190">
        <f t="shared" si="41"/>
        <v>1100000</v>
      </c>
      <c r="J318" s="190">
        <v>0</v>
      </c>
      <c r="K318" s="190">
        <v>1000000</v>
      </c>
      <c r="L318" s="190">
        <f t="shared" si="40"/>
        <v>1000000</v>
      </c>
      <c r="M318" s="190">
        <f t="shared" si="39"/>
        <v>90.9090909090909</v>
      </c>
      <c r="N318" s="286" t="s">
        <v>1010</v>
      </c>
    </row>
    <row r="319" spans="1:14" ht="19.5" customHeight="1">
      <c r="A319" s="183">
        <v>1003</v>
      </c>
      <c r="B319" s="183">
        <v>2219</v>
      </c>
      <c r="C319" s="183">
        <v>6319</v>
      </c>
      <c r="D319" s="183">
        <v>34</v>
      </c>
      <c r="E319" s="184" t="s">
        <v>1011</v>
      </c>
      <c r="F319" s="185">
        <v>13000</v>
      </c>
      <c r="G319" s="190">
        <v>13000000</v>
      </c>
      <c r="H319" s="186"/>
      <c r="I319" s="190">
        <f t="shared" si="41"/>
        <v>13000000</v>
      </c>
      <c r="J319" s="190">
        <v>0</v>
      </c>
      <c r="K319" s="190">
        <v>12885059</v>
      </c>
      <c r="L319" s="190">
        <f t="shared" si="40"/>
        <v>12885059</v>
      </c>
      <c r="M319" s="190">
        <f t="shared" si="39"/>
        <v>99.11583846153846</v>
      </c>
      <c r="N319" s="289" t="s">
        <v>916</v>
      </c>
    </row>
    <row r="320" spans="1:14" s="200" customFormat="1" ht="19.5" customHeight="1">
      <c r="A320" s="196">
        <v>4542</v>
      </c>
      <c r="B320" s="196">
        <v>3745</v>
      </c>
      <c r="C320" s="196">
        <v>6121</v>
      </c>
      <c r="D320" s="183">
        <v>35</v>
      </c>
      <c r="E320" s="187" t="s">
        <v>1012</v>
      </c>
      <c r="F320" s="227">
        <v>1950</v>
      </c>
      <c r="G320" s="190">
        <v>0</v>
      </c>
      <c r="H320" s="228"/>
      <c r="I320" s="190">
        <f t="shared" si="41"/>
        <v>0</v>
      </c>
      <c r="J320" s="190">
        <v>0</v>
      </c>
      <c r="K320" s="190">
        <v>0</v>
      </c>
      <c r="L320" s="190">
        <f t="shared" si="40"/>
        <v>0</v>
      </c>
      <c r="M320" s="190">
        <v>0</v>
      </c>
      <c r="N320" s="258" t="s">
        <v>1013</v>
      </c>
    </row>
    <row r="321" spans="1:14" s="200" customFormat="1" ht="19.5" customHeight="1">
      <c r="A321" s="196">
        <v>4542</v>
      </c>
      <c r="B321" s="196">
        <v>3745</v>
      </c>
      <c r="C321" s="196">
        <v>6313</v>
      </c>
      <c r="D321" s="183">
        <v>36</v>
      </c>
      <c r="E321" s="187" t="s">
        <v>1012</v>
      </c>
      <c r="F321" s="227">
        <v>0</v>
      </c>
      <c r="G321" s="190">
        <v>1950000</v>
      </c>
      <c r="H321" s="228"/>
      <c r="I321" s="190">
        <f t="shared" si="41"/>
        <v>1950000</v>
      </c>
      <c r="J321" s="190">
        <v>0</v>
      </c>
      <c r="K321" s="190">
        <v>1950000</v>
      </c>
      <c r="L321" s="190">
        <f t="shared" si="40"/>
        <v>1950000</v>
      </c>
      <c r="M321" s="190">
        <f>L321/I321*100</f>
        <v>100</v>
      </c>
      <c r="N321" s="258" t="s">
        <v>1013</v>
      </c>
    </row>
    <row r="322" spans="1:14" s="200" customFormat="1" ht="33.75" customHeight="1">
      <c r="A322" s="196">
        <v>4684</v>
      </c>
      <c r="B322" s="196">
        <v>3745</v>
      </c>
      <c r="C322" s="196">
        <v>6313</v>
      </c>
      <c r="D322" s="183">
        <v>37</v>
      </c>
      <c r="E322" s="293" t="s">
        <v>1014</v>
      </c>
      <c r="F322" s="227">
        <v>0</v>
      </c>
      <c r="G322" s="190">
        <v>1000000</v>
      </c>
      <c r="H322" s="228"/>
      <c r="I322" s="190">
        <f t="shared" si="41"/>
        <v>1000000</v>
      </c>
      <c r="J322" s="190">
        <v>0</v>
      </c>
      <c r="K322" s="190">
        <v>1000000</v>
      </c>
      <c r="L322" s="190">
        <f t="shared" si="40"/>
        <v>1000000</v>
      </c>
      <c r="M322" s="190">
        <f>L322/I322*100</f>
        <v>100</v>
      </c>
      <c r="N322" s="258" t="s">
        <v>1013</v>
      </c>
    </row>
    <row r="323" spans="1:14" s="200" customFormat="1" ht="41.25" customHeight="1">
      <c r="A323" s="196">
        <v>4228</v>
      </c>
      <c r="B323" s="196">
        <v>3741</v>
      </c>
      <c r="C323" s="196">
        <v>6351</v>
      </c>
      <c r="D323" s="183">
        <v>38</v>
      </c>
      <c r="E323" s="293" t="s">
        <v>1015</v>
      </c>
      <c r="F323" s="227">
        <v>0</v>
      </c>
      <c r="G323" s="190">
        <v>2634543.17</v>
      </c>
      <c r="H323" s="228"/>
      <c r="I323" s="190">
        <f t="shared" si="41"/>
        <v>2634543.17</v>
      </c>
      <c r="J323" s="190">
        <v>0</v>
      </c>
      <c r="K323" s="190">
        <v>2634543.17</v>
      </c>
      <c r="L323" s="190">
        <f t="shared" si="40"/>
        <v>2634543.17</v>
      </c>
      <c r="M323" s="190">
        <f>L323/I323*100</f>
        <v>100</v>
      </c>
      <c r="N323" s="288" t="s">
        <v>1016</v>
      </c>
    </row>
    <row r="324" spans="1:14" s="200" customFormat="1" ht="19.5" customHeight="1">
      <c r="A324" s="196">
        <v>4548</v>
      </c>
      <c r="B324" s="196">
        <v>3741</v>
      </c>
      <c r="C324" s="196">
        <v>6121</v>
      </c>
      <c r="D324" s="183">
        <v>39</v>
      </c>
      <c r="E324" s="187" t="s">
        <v>1017</v>
      </c>
      <c r="F324" s="227">
        <v>1900</v>
      </c>
      <c r="G324" s="190">
        <v>0</v>
      </c>
      <c r="H324" s="228"/>
      <c r="I324" s="190">
        <f t="shared" si="41"/>
        <v>0</v>
      </c>
      <c r="J324" s="190">
        <v>0</v>
      </c>
      <c r="K324" s="190">
        <v>0</v>
      </c>
      <c r="L324" s="190">
        <f t="shared" si="40"/>
        <v>0</v>
      </c>
      <c r="M324" s="190">
        <v>0</v>
      </c>
      <c r="N324" s="258" t="s">
        <v>990</v>
      </c>
    </row>
    <row r="325" spans="1:14" s="200" customFormat="1" ht="19.5" customHeight="1">
      <c r="A325" s="294">
        <v>4548</v>
      </c>
      <c r="B325" s="294">
        <v>3741</v>
      </c>
      <c r="C325" s="294">
        <v>6351</v>
      </c>
      <c r="D325" s="210">
        <v>40</v>
      </c>
      <c r="E325" s="295" t="s">
        <v>1017</v>
      </c>
      <c r="F325" s="296">
        <v>0</v>
      </c>
      <c r="G325" s="261">
        <v>1900000</v>
      </c>
      <c r="H325" s="297"/>
      <c r="I325" s="261">
        <f t="shared" si="41"/>
        <v>1900000</v>
      </c>
      <c r="J325" s="261">
        <v>0</v>
      </c>
      <c r="K325" s="261">
        <v>1900000</v>
      </c>
      <c r="L325" s="261">
        <f t="shared" si="40"/>
        <v>1900000</v>
      </c>
      <c r="M325" s="261">
        <f>L325/I325*100</f>
        <v>100</v>
      </c>
      <c r="N325" s="298" t="s">
        <v>990</v>
      </c>
    </row>
    <row r="326" spans="1:14" s="299" customFormat="1" ht="19.5" customHeight="1">
      <c r="A326" s="196">
        <v>4549</v>
      </c>
      <c r="B326" s="196">
        <v>3741</v>
      </c>
      <c r="C326" s="196">
        <v>6121</v>
      </c>
      <c r="D326" s="183">
        <v>41</v>
      </c>
      <c r="E326" s="187" t="s">
        <v>1018</v>
      </c>
      <c r="F326" s="227">
        <v>1850</v>
      </c>
      <c r="G326" s="190">
        <v>0</v>
      </c>
      <c r="H326" s="228"/>
      <c r="I326" s="190">
        <f t="shared" si="41"/>
        <v>0</v>
      </c>
      <c r="J326" s="190">
        <v>0</v>
      </c>
      <c r="K326" s="190">
        <v>0</v>
      </c>
      <c r="L326" s="190">
        <f t="shared" si="40"/>
        <v>0</v>
      </c>
      <c r="M326" s="190">
        <v>0</v>
      </c>
      <c r="N326" s="258" t="s">
        <v>990</v>
      </c>
    </row>
    <row r="327" spans="1:14" s="300" customFormat="1" ht="19.5" customHeight="1">
      <c r="A327" s="294">
        <v>4549</v>
      </c>
      <c r="B327" s="294">
        <v>3741</v>
      </c>
      <c r="C327" s="294">
        <v>6351</v>
      </c>
      <c r="D327" s="210">
        <v>42</v>
      </c>
      <c r="E327" s="295" t="s">
        <v>1018</v>
      </c>
      <c r="F327" s="296">
        <v>0</v>
      </c>
      <c r="G327" s="261">
        <v>1850000</v>
      </c>
      <c r="H327" s="297"/>
      <c r="I327" s="261">
        <f t="shared" si="41"/>
        <v>1850000</v>
      </c>
      <c r="J327" s="261">
        <v>0</v>
      </c>
      <c r="K327" s="261">
        <v>1850000</v>
      </c>
      <c r="L327" s="261">
        <f t="shared" si="40"/>
        <v>1850000</v>
      </c>
      <c r="M327" s="261">
        <f aca="true" t="shared" si="42" ref="M327:M332">L327/I327*100</f>
        <v>100</v>
      </c>
      <c r="N327" s="298" t="s">
        <v>990</v>
      </c>
    </row>
    <row r="328" spans="1:14" s="299" customFormat="1" ht="19.5" customHeight="1">
      <c r="A328" s="196">
        <v>4654</v>
      </c>
      <c r="B328" s="196">
        <v>3113</v>
      </c>
      <c r="C328" s="196">
        <v>6351</v>
      </c>
      <c r="D328" s="183">
        <v>43</v>
      </c>
      <c r="E328" s="187" t="s">
        <v>1019</v>
      </c>
      <c r="F328" s="227">
        <v>0</v>
      </c>
      <c r="G328" s="190">
        <v>260000</v>
      </c>
      <c r="H328" s="228"/>
      <c r="I328" s="190">
        <f t="shared" si="41"/>
        <v>260000</v>
      </c>
      <c r="J328" s="190">
        <v>0</v>
      </c>
      <c r="K328" s="190">
        <v>260000</v>
      </c>
      <c r="L328" s="190">
        <f t="shared" si="40"/>
        <v>260000</v>
      </c>
      <c r="M328" s="190">
        <f t="shared" si="42"/>
        <v>100</v>
      </c>
      <c r="N328" s="258" t="s">
        <v>921</v>
      </c>
    </row>
    <row r="329" spans="1:14" s="300" customFormat="1" ht="19.5" customHeight="1">
      <c r="A329" s="294">
        <v>4657</v>
      </c>
      <c r="B329" s="294">
        <v>3113</v>
      </c>
      <c r="C329" s="294">
        <v>6351</v>
      </c>
      <c r="D329" s="183">
        <v>44</v>
      </c>
      <c r="E329" s="295" t="s">
        <v>1020</v>
      </c>
      <c r="F329" s="296">
        <v>0</v>
      </c>
      <c r="G329" s="261">
        <v>119000</v>
      </c>
      <c r="H329" s="297"/>
      <c r="I329" s="261">
        <f t="shared" si="41"/>
        <v>119000</v>
      </c>
      <c r="J329" s="261">
        <v>0</v>
      </c>
      <c r="K329" s="261">
        <v>119000</v>
      </c>
      <c r="L329" s="261">
        <f t="shared" si="40"/>
        <v>119000</v>
      </c>
      <c r="M329" s="261">
        <f t="shared" si="42"/>
        <v>100</v>
      </c>
      <c r="N329" s="298" t="s">
        <v>921</v>
      </c>
    </row>
    <row r="330" spans="1:14" s="299" customFormat="1" ht="19.5" customHeight="1">
      <c r="A330" s="196">
        <v>4713</v>
      </c>
      <c r="B330" s="196">
        <v>3111</v>
      </c>
      <c r="C330" s="196">
        <v>6351</v>
      </c>
      <c r="D330" s="183">
        <v>45</v>
      </c>
      <c r="E330" s="187" t="s">
        <v>1021</v>
      </c>
      <c r="F330" s="227">
        <v>0</v>
      </c>
      <c r="G330" s="190">
        <v>70774</v>
      </c>
      <c r="H330" s="228"/>
      <c r="I330" s="261">
        <f t="shared" si="41"/>
        <v>70774</v>
      </c>
      <c r="J330" s="261">
        <v>0</v>
      </c>
      <c r="K330" s="190">
        <v>70774</v>
      </c>
      <c r="L330" s="261">
        <f t="shared" si="40"/>
        <v>70774</v>
      </c>
      <c r="M330" s="261">
        <f t="shared" si="42"/>
        <v>100</v>
      </c>
      <c r="N330" s="298" t="s">
        <v>921</v>
      </c>
    </row>
    <row r="331" spans="1:14" s="306" customFormat="1" ht="19.5" customHeight="1" thickBot="1">
      <c r="A331" s="301">
        <v>4714</v>
      </c>
      <c r="B331" s="301">
        <v>3113</v>
      </c>
      <c r="C331" s="301">
        <v>6351</v>
      </c>
      <c r="D331" s="183">
        <v>46</v>
      </c>
      <c r="E331" s="302" t="s">
        <v>1022</v>
      </c>
      <c r="F331" s="303">
        <v>0</v>
      </c>
      <c r="G331" s="271">
        <v>119221</v>
      </c>
      <c r="H331" s="304"/>
      <c r="I331" s="271">
        <f t="shared" si="41"/>
        <v>119221</v>
      </c>
      <c r="J331" s="261">
        <v>0</v>
      </c>
      <c r="K331" s="261">
        <v>119221</v>
      </c>
      <c r="L331" s="261">
        <f t="shared" si="40"/>
        <v>119221</v>
      </c>
      <c r="M331" s="261">
        <f t="shared" si="42"/>
        <v>100</v>
      </c>
      <c r="N331" s="305" t="s">
        <v>921</v>
      </c>
    </row>
    <row r="332" spans="1:15" s="313" customFormat="1" ht="19.5" customHeight="1" thickBot="1">
      <c r="A332" s="307"/>
      <c r="B332" s="307"/>
      <c r="C332" s="307"/>
      <c r="D332" s="307"/>
      <c r="E332" s="308" t="s">
        <v>914</v>
      </c>
      <c r="F332" s="309">
        <f>SUM(F286:F326)</f>
        <v>76090</v>
      </c>
      <c r="G332" s="310">
        <f aca="true" t="shared" si="43" ref="G332:L332">SUM(G286:G331)</f>
        <v>59434656.49</v>
      </c>
      <c r="H332" s="310">
        <f t="shared" si="43"/>
        <v>0</v>
      </c>
      <c r="I332" s="310">
        <f t="shared" si="43"/>
        <v>59434656.49</v>
      </c>
      <c r="J332" s="244">
        <f t="shared" si="43"/>
        <v>0</v>
      </c>
      <c r="K332" s="244">
        <f t="shared" si="43"/>
        <v>52716179.99</v>
      </c>
      <c r="L332" s="244">
        <f t="shared" si="43"/>
        <v>52716179.99</v>
      </c>
      <c r="M332" s="278">
        <f t="shared" si="42"/>
        <v>88.6960287199937</v>
      </c>
      <c r="N332" s="311"/>
      <c r="O332" s="312"/>
    </row>
    <row r="333" spans="1:15" s="221" customFormat="1" ht="19.5" customHeight="1">
      <c r="A333" s="279"/>
      <c r="B333" s="279"/>
      <c r="C333" s="279"/>
      <c r="D333" s="279"/>
      <c r="E333" s="314"/>
      <c r="F333" s="315"/>
      <c r="G333" s="316"/>
      <c r="H333" s="316"/>
      <c r="I333" s="316"/>
      <c r="J333" s="316"/>
      <c r="K333" s="316"/>
      <c r="L333" s="316"/>
      <c r="M333" s="317"/>
      <c r="N333" s="250"/>
      <c r="O333" s="220"/>
    </row>
    <row r="334" spans="1:15" s="221" customFormat="1" ht="0.75" customHeight="1" hidden="1">
      <c r="A334" s="279"/>
      <c r="B334" s="279"/>
      <c r="C334" s="279"/>
      <c r="D334" s="279"/>
      <c r="E334" s="314"/>
      <c r="F334" s="315"/>
      <c r="G334" s="316"/>
      <c r="H334" s="316"/>
      <c r="I334" s="317"/>
      <c r="J334" s="317"/>
      <c r="K334" s="317"/>
      <c r="L334" s="317"/>
      <c r="M334" s="317"/>
      <c r="N334" s="250"/>
      <c r="O334" s="220"/>
    </row>
    <row r="335" spans="1:15" s="221" customFormat="1" ht="19.5" customHeight="1" hidden="1">
      <c r="A335" s="279"/>
      <c r="B335" s="279"/>
      <c r="C335" s="279"/>
      <c r="D335" s="279"/>
      <c r="E335" s="280"/>
      <c r="F335" s="281"/>
      <c r="G335" s="281"/>
      <c r="H335" s="282"/>
      <c r="I335" s="281"/>
      <c r="J335" s="281"/>
      <c r="K335" s="281"/>
      <c r="L335" s="281"/>
      <c r="M335" s="281"/>
      <c r="N335" s="250"/>
      <c r="O335" s="220"/>
    </row>
    <row r="336" spans="1:14" ht="19.5" customHeight="1">
      <c r="A336" s="318"/>
      <c r="B336" s="318"/>
      <c r="C336" s="318"/>
      <c r="D336" s="318"/>
      <c r="E336" s="178" t="s">
        <v>1023</v>
      </c>
      <c r="F336" s="248"/>
      <c r="G336" s="248"/>
      <c r="H336" s="249"/>
      <c r="I336" s="248"/>
      <c r="J336" s="248"/>
      <c r="K336" s="248"/>
      <c r="L336" s="248"/>
      <c r="M336" s="248"/>
      <c r="N336" s="250"/>
    </row>
    <row r="337" spans="1:15" ht="19.5" customHeight="1">
      <c r="A337" s="319">
        <v>4293</v>
      </c>
      <c r="B337" s="319">
        <v>3635</v>
      </c>
      <c r="C337" s="319">
        <v>6119</v>
      </c>
      <c r="D337" s="319">
        <v>1</v>
      </c>
      <c r="E337" s="320" t="s">
        <v>1024</v>
      </c>
      <c r="F337" s="321">
        <v>417</v>
      </c>
      <c r="G337" s="322">
        <v>417000</v>
      </c>
      <c r="H337" s="323"/>
      <c r="I337" s="322">
        <f aca="true" t="shared" si="44" ref="I337:I361">G337+H337</f>
        <v>417000</v>
      </c>
      <c r="J337" s="322">
        <v>0</v>
      </c>
      <c r="K337" s="322">
        <v>416500</v>
      </c>
      <c r="L337" s="322">
        <f aca="true" t="shared" si="45" ref="L337:L361">J337+K337</f>
        <v>416500</v>
      </c>
      <c r="M337" s="322">
        <f aca="true" t="shared" si="46" ref="M337:M343">L337/I337*100</f>
        <v>99.8800959232614</v>
      </c>
      <c r="N337" s="324"/>
      <c r="O337" s="182"/>
    </row>
    <row r="338" spans="1:15" ht="19.5" customHeight="1">
      <c r="A338" s="319">
        <v>4641</v>
      </c>
      <c r="B338" s="319">
        <v>3635</v>
      </c>
      <c r="C338" s="319">
        <v>6119</v>
      </c>
      <c r="D338" s="319">
        <v>2</v>
      </c>
      <c r="E338" s="320" t="s">
        <v>1025</v>
      </c>
      <c r="F338" s="321">
        <v>0</v>
      </c>
      <c r="G338" s="322">
        <v>574770</v>
      </c>
      <c r="H338" s="323"/>
      <c r="I338" s="322">
        <f t="shared" si="44"/>
        <v>574770</v>
      </c>
      <c r="J338" s="322">
        <v>0</v>
      </c>
      <c r="K338" s="322">
        <v>574770</v>
      </c>
      <c r="L338" s="322">
        <f t="shared" si="45"/>
        <v>574770</v>
      </c>
      <c r="M338" s="322">
        <f t="shared" si="46"/>
        <v>100</v>
      </c>
      <c r="N338" s="324"/>
      <c r="O338" s="182"/>
    </row>
    <row r="339" spans="1:15" ht="19.5" customHeight="1">
      <c r="A339" s="319">
        <v>4296</v>
      </c>
      <c r="B339" s="319">
        <v>3635</v>
      </c>
      <c r="C339" s="319">
        <v>6119</v>
      </c>
      <c r="D339" s="319">
        <v>3</v>
      </c>
      <c r="E339" s="320" t="s">
        <v>1026</v>
      </c>
      <c r="F339" s="321">
        <v>0</v>
      </c>
      <c r="G339" s="322">
        <v>120000</v>
      </c>
      <c r="H339" s="323"/>
      <c r="I339" s="322">
        <f t="shared" si="44"/>
        <v>120000</v>
      </c>
      <c r="J339" s="322">
        <v>0</v>
      </c>
      <c r="K339" s="322">
        <v>119000</v>
      </c>
      <c r="L339" s="322">
        <f t="shared" si="45"/>
        <v>119000</v>
      </c>
      <c r="M339" s="322">
        <f t="shared" si="46"/>
        <v>99.16666666666667</v>
      </c>
      <c r="N339" s="324"/>
      <c r="O339" s="182"/>
    </row>
    <row r="340" spans="1:15" ht="19.5" customHeight="1">
      <c r="A340" s="319">
        <v>4693</v>
      </c>
      <c r="B340" s="319">
        <v>3635</v>
      </c>
      <c r="C340" s="319">
        <v>6119</v>
      </c>
      <c r="D340" s="319">
        <v>4</v>
      </c>
      <c r="E340" s="320" t="s">
        <v>1027</v>
      </c>
      <c r="F340" s="321">
        <v>0</v>
      </c>
      <c r="G340" s="322">
        <v>400000</v>
      </c>
      <c r="H340" s="323"/>
      <c r="I340" s="322">
        <f t="shared" si="44"/>
        <v>400000</v>
      </c>
      <c r="J340" s="322">
        <v>0</v>
      </c>
      <c r="K340" s="322">
        <v>152189</v>
      </c>
      <c r="L340" s="322">
        <f t="shared" si="45"/>
        <v>152189</v>
      </c>
      <c r="M340" s="322">
        <f t="shared" si="46"/>
        <v>38.04725</v>
      </c>
      <c r="N340" s="324"/>
      <c r="O340" s="182"/>
    </row>
    <row r="341" spans="1:15" ht="19.5" customHeight="1">
      <c r="A341" s="319">
        <v>4691</v>
      </c>
      <c r="B341" s="319">
        <v>3635</v>
      </c>
      <c r="C341" s="319">
        <v>6119</v>
      </c>
      <c r="D341" s="319">
        <v>5</v>
      </c>
      <c r="E341" s="320" t="s">
        <v>1028</v>
      </c>
      <c r="F341" s="321">
        <v>0</v>
      </c>
      <c r="G341" s="322">
        <v>150000</v>
      </c>
      <c r="H341" s="323"/>
      <c r="I341" s="322">
        <f t="shared" si="44"/>
        <v>150000</v>
      </c>
      <c r="J341" s="322">
        <v>0</v>
      </c>
      <c r="K341" s="322">
        <v>135622</v>
      </c>
      <c r="L341" s="322">
        <f t="shared" si="45"/>
        <v>135622</v>
      </c>
      <c r="M341" s="322">
        <f t="shared" si="46"/>
        <v>90.41466666666666</v>
      </c>
      <c r="N341" s="324"/>
      <c r="O341" s="182"/>
    </row>
    <row r="342" spans="1:15" ht="19.5" customHeight="1">
      <c r="A342" s="319">
        <v>4331</v>
      </c>
      <c r="B342" s="319">
        <v>3635</v>
      </c>
      <c r="C342" s="319">
        <v>6119</v>
      </c>
      <c r="D342" s="319">
        <v>6</v>
      </c>
      <c r="E342" s="320" t="s">
        <v>775</v>
      </c>
      <c r="F342" s="321">
        <v>200</v>
      </c>
      <c r="G342" s="322">
        <v>80000</v>
      </c>
      <c r="H342" s="323"/>
      <c r="I342" s="322">
        <f t="shared" si="44"/>
        <v>80000</v>
      </c>
      <c r="J342" s="322">
        <v>0</v>
      </c>
      <c r="K342" s="322">
        <v>0</v>
      </c>
      <c r="L342" s="322">
        <f t="shared" si="45"/>
        <v>0</v>
      </c>
      <c r="M342" s="322">
        <f t="shared" si="46"/>
        <v>0</v>
      </c>
      <c r="N342" s="324"/>
      <c r="O342" s="182"/>
    </row>
    <row r="343" spans="1:15" ht="19.5" customHeight="1">
      <c r="A343" s="319">
        <v>4431</v>
      </c>
      <c r="B343" s="319">
        <v>3635</v>
      </c>
      <c r="C343" s="319">
        <v>6119</v>
      </c>
      <c r="D343" s="319">
        <v>7</v>
      </c>
      <c r="E343" s="320" t="s">
        <v>1029</v>
      </c>
      <c r="F343" s="325">
        <v>1000</v>
      </c>
      <c r="G343" s="322">
        <v>979210</v>
      </c>
      <c r="H343" s="323"/>
      <c r="I343" s="322">
        <f t="shared" si="44"/>
        <v>979210</v>
      </c>
      <c r="J343" s="322">
        <v>0</v>
      </c>
      <c r="K343" s="322">
        <v>979210</v>
      </c>
      <c r="L343" s="322">
        <f t="shared" si="45"/>
        <v>979210</v>
      </c>
      <c r="M343" s="322">
        <f t="shared" si="46"/>
        <v>100</v>
      </c>
      <c r="N343" s="324"/>
      <c r="O343" s="182"/>
    </row>
    <row r="344" spans="1:15" ht="19.5" customHeight="1">
      <c r="A344" s="319">
        <v>4692</v>
      </c>
      <c r="B344" s="319">
        <v>3635</v>
      </c>
      <c r="C344" s="319">
        <v>6119</v>
      </c>
      <c r="D344" s="319">
        <v>8</v>
      </c>
      <c r="E344" s="320" t="s">
        <v>1030</v>
      </c>
      <c r="F344" s="325">
        <v>0</v>
      </c>
      <c r="G344" s="322">
        <v>300000</v>
      </c>
      <c r="H344" s="323"/>
      <c r="I344" s="322">
        <f t="shared" si="44"/>
        <v>300000</v>
      </c>
      <c r="J344" s="322">
        <v>0</v>
      </c>
      <c r="K344" s="322">
        <v>0</v>
      </c>
      <c r="L344" s="322">
        <f t="shared" si="45"/>
        <v>0</v>
      </c>
      <c r="M344" s="322">
        <v>0</v>
      </c>
      <c r="N344" s="324"/>
      <c r="O344" s="182"/>
    </row>
    <row r="345" spans="1:15" ht="19.5" customHeight="1">
      <c r="A345" s="319">
        <v>4676</v>
      </c>
      <c r="B345" s="319">
        <v>3635</v>
      </c>
      <c r="C345" s="319">
        <v>6119</v>
      </c>
      <c r="D345" s="319">
        <v>9</v>
      </c>
      <c r="E345" s="320" t="s">
        <v>1031</v>
      </c>
      <c r="F345" s="325">
        <v>0</v>
      </c>
      <c r="G345" s="322">
        <v>250000</v>
      </c>
      <c r="H345" s="323"/>
      <c r="I345" s="322">
        <f t="shared" si="44"/>
        <v>250000</v>
      </c>
      <c r="J345" s="322">
        <v>0</v>
      </c>
      <c r="K345" s="322">
        <v>249900</v>
      </c>
      <c r="L345" s="322">
        <f t="shared" si="45"/>
        <v>249900</v>
      </c>
      <c r="M345" s="322">
        <f>L345/I345*100</f>
        <v>99.96000000000001</v>
      </c>
      <c r="N345" s="324"/>
      <c r="O345" s="182"/>
    </row>
    <row r="346" spans="1:15" ht="19.5" customHeight="1">
      <c r="A346" s="319">
        <v>4583</v>
      </c>
      <c r="B346" s="319">
        <v>3635</v>
      </c>
      <c r="C346" s="319">
        <v>6119</v>
      </c>
      <c r="D346" s="319">
        <v>10</v>
      </c>
      <c r="E346" s="320" t="s">
        <v>1032</v>
      </c>
      <c r="F346" s="325">
        <v>100</v>
      </c>
      <c r="G346" s="322">
        <v>0</v>
      </c>
      <c r="H346" s="323"/>
      <c r="I346" s="322">
        <f t="shared" si="44"/>
        <v>0</v>
      </c>
      <c r="J346" s="322">
        <v>0</v>
      </c>
      <c r="K346" s="322">
        <v>0</v>
      </c>
      <c r="L346" s="322">
        <f t="shared" si="45"/>
        <v>0</v>
      </c>
      <c r="M346" s="322">
        <v>0</v>
      </c>
      <c r="N346" s="324"/>
      <c r="O346" s="182"/>
    </row>
    <row r="347" spans="1:15" ht="19.5" customHeight="1">
      <c r="A347" s="319">
        <v>4289</v>
      </c>
      <c r="B347" s="319">
        <v>3635</v>
      </c>
      <c r="C347" s="319">
        <v>6119</v>
      </c>
      <c r="D347" s="319">
        <v>11</v>
      </c>
      <c r="E347" s="320" t="s">
        <v>1033</v>
      </c>
      <c r="F347" s="321">
        <v>300</v>
      </c>
      <c r="G347" s="322">
        <v>300000</v>
      </c>
      <c r="H347" s="323"/>
      <c r="I347" s="322">
        <f t="shared" si="44"/>
        <v>300000</v>
      </c>
      <c r="J347" s="322">
        <v>0</v>
      </c>
      <c r="K347" s="322">
        <v>299999</v>
      </c>
      <c r="L347" s="322">
        <f t="shared" si="45"/>
        <v>299999</v>
      </c>
      <c r="M347" s="322">
        <f>L347/I347*100</f>
        <v>99.99966666666667</v>
      </c>
      <c r="N347" s="324"/>
      <c r="O347" s="182"/>
    </row>
    <row r="348" spans="1:15" ht="19.5" customHeight="1">
      <c r="A348" s="319">
        <v>4584</v>
      </c>
      <c r="B348" s="319">
        <v>3635</v>
      </c>
      <c r="C348" s="319">
        <v>6119</v>
      </c>
      <c r="D348" s="319">
        <v>12</v>
      </c>
      <c r="E348" s="320" t="s">
        <v>1034</v>
      </c>
      <c r="F348" s="321">
        <v>200</v>
      </c>
      <c r="G348" s="322">
        <v>200000</v>
      </c>
      <c r="H348" s="323"/>
      <c r="I348" s="322">
        <f t="shared" si="44"/>
        <v>200000</v>
      </c>
      <c r="J348" s="322">
        <v>0</v>
      </c>
      <c r="K348" s="322">
        <v>88506.5</v>
      </c>
      <c r="L348" s="322">
        <f t="shared" si="45"/>
        <v>88506.5</v>
      </c>
      <c r="M348" s="322">
        <f>L348/I348*100</f>
        <v>44.25325</v>
      </c>
      <c r="N348" s="324"/>
      <c r="O348" s="182"/>
    </row>
    <row r="349" spans="1:15" ht="19.5" customHeight="1">
      <c r="A349" s="319">
        <v>4585</v>
      </c>
      <c r="B349" s="319">
        <v>3635</v>
      </c>
      <c r="C349" s="319">
        <v>6119</v>
      </c>
      <c r="D349" s="319">
        <v>13</v>
      </c>
      <c r="E349" s="320" t="s">
        <v>1035</v>
      </c>
      <c r="F349" s="325">
        <v>2000</v>
      </c>
      <c r="G349" s="322">
        <v>2000000</v>
      </c>
      <c r="H349" s="323"/>
      <c r="I349" s="322">
        <f t="shared" si="44"/>
        <v>2000000</v>
      </c>
      <c r="J349" s="322">
        <v>0</v>
      </c>
      <c r="K349" s="322">
        <v>1951247.5</v>
      </c>
      <c r="L349" s="322">
        <f t="shared" si="45"/>
        <v>1951247.5</v>
      </c>
      <c r="M349" s="322">
        <f>L349/I349*100</f>
        <v>97.562375</v>
      </c>
      <c r="N349" s="326"/>
      <c r="O349" s="182"/>
    </row>
    <row r="350" spans="1:15" ht="19.5" customHeight="1">
      <c r="A350" s="319">
        <v>4586</v>
      </c>
      <c r="B350" s="319">
        <v>3635</v>
      </c>
      <c r="C350" s="319">
        <v>6119</v>
      </c>
      <c r="D350" s="319">
        <v>14</v>
      </c>
      <c r="E350" s="320" t="s">
        <v>1036</v>
      </c>
      <c r="F350" s="321">
        <v>360</v>
      </c>
      <c r="G350" s="322">
        <v>0</v>
      </c>
      <c r="H350" s="323"/>
      <c r="I350" s="322">
        <f t="shared" si="44"/>
        <v>0</v>
      </c>
      <c r="J350" s="322">
        <v>0</v>
      </c>
      <c r="K350" s="322">
        <v>0</v>
      </c>
      <c r="L350" s="322">
        <f t="shared" si="45"/>
        <v>0</v>
      </c>
      <c r="M350" s="322">
        <v>0</v>
      </c>
      <c r="N350" s="324"/>
      <c r="O350" s="182"/>
    </row>
    <row r="351" spans="1:15" ht="19.5" customHeight="1">
      <c r="A351" s="319">
        <v>4298</v>
      </c>
      <c r="B351" s="319">
        <v>3635</v>
      </c>
      <c r="C351" s="319">
        <v>6119</v>
      </c>
      <c r="D351" s="319">
        <v>15</v>
      </c>
      <c r="E351" s="320" t="s">
        <v>1037</v>
      </c>
      <c r="F351" s="321">
        <v>50</v>
      </c>
      <c r="G351" s="322">
        <v>40000</v>
      </c>
      <c r="H351" s="323"/>
      <c r="I351" s="322">
        <f t="shared" si="44"/>
        <v>40000</v>
      </c>
      <c r="J351" s="322">
        <v>0</v>
      </c>
      <c r="K351" s="322">
        <v>39865</v>
      </c>
      <c r="L351" s="322">
        <f t="shared" si="45"/>
        <v>39865</v>
      </c>
      <c r="M351" s="322">
        <f aca="true" t="shared" si="47" ref="M351:M358">L351/I351*100</f>
        <v>99.6625</v>
      </c>
      <c r="N351" s="324"/>
      <c r="O351" s="182"/>
    </row>
    <row r="352" spans="1:15" ht="19.5" customHeight="1">
      <c r="A352" s="319">
        <v>4285</v>
      </c>
      <c r="B352" s="319">
        <v>3635</v>
      </c>
      <c r="C352" s="319">
        <v>6119</v>
      </c>
      <c r="D352" s="319">
        <v>16</v>
      </c>
      <c r="E352" s="320" t="s">
        <v>1038</v>
      </c>
      <c r="F352" s="321">
        <v>500</v>
      </c>
      <c r="G352" s="322">
        <v>1241527</v>
      </c>
      <c r="H352" s="323"/>
      <c r="I352" s="322">
        <f t="shared" si="44"/>
        <v>1241527</v>
      </c>
      <c r="J352" s="322">
        <v>0</v>
      </c>
      <c r="K352" s="322">
        <v>1241527</v>
      </c>
      <c r="L352" s="322">
        <f t="shared" si="45"/>
        <v>1241527</v>
      </c>
      <c r="M352" s="322">
        <f t="shared" si="47"/>
        <v>100</v>
      </c>
      <c r="N352" s="324"/>
      <c r="O352" s="182"/>
    </row>
    <row r="353" spans="1:15" ht="19.5" customHeight="1">
      <c r="A353" s="319">
        <v>4587</v>
      </c>
      <c r="B353" s="319">
        <v>3635</v>
      </c>
      <c r="C353" s="319">
        <v>6119</v>
      </c>
      <c r="D353" s="319">
        <v>17</v>
      </c>
      <c r="E353" s="320" t="s">
        <v>1039</v>
      </c>
      <c r="F353" s="321">
        <v>100</v>
      </c>
      <c r="G353" s="322">
        <v>100000</v>
      </c>
      <c r="H353" s="323"/>
      <c r="I353" s="322">
        <f t="shared" si="44"/>
        <v>100000</v>
      </c>
      <c r="J353" s="322">
        <v>0</v>
      </c>
      <c r="K353" s="322">
        <v>85394.4</v>
      </c>
      <c r="L353" s="322">
        <f t="shared" si="45"/>
        <v>85394.4</v>
      </c>
      <c r="M353" s="322">
        <f t="shared" si="47"/>
        <v>85.39439999999999</v>
      </c>
      <c r="N353" s="324"/>
      <c r="O353" s="182"/>
    </row>
    <row r="354" spans="1:15" ht="19.5" customHeight="1">
      <c r="A354" s="319">
        <v>4588</v>
      </c>
      <c r="B354" s="319">
        <v>3635</v>
      </c>
      <c r="C354" s="319">
        <v>6119</v>
      </c>
      <c r="D354" s="319">
        <v>18</v>
      </c>
      <c r="E354" s="320" t="s">
        <v>1040</v>
      </c>
      <c r="F354" s="321">
        <v>100</v>
      </c>
      <c r="G354" s="322">
        <v>100000</v>
      </c>
      <c r="H354" s="323"/>
      <c r="I354" s="322">
        <f t="shared" si="44"/>
        <v>100000</v>
      </c>
      <c r="J354" s="322">
        <v>0</v>
      </c>
      <c r="K354" s="322">
        <v>95260</v>
      </c>
      <c r="L354" s="322">
        <f t="shared" si="45"/>
        <v>95260</v>
      </c>
      <c r="M354" s="322">
        <f t="shared" si="47"/>
        <v>95.26</v>
      </c>
      <c r="N354" s="324"/>
      <c r="O354" s="182"/>
    </row>
    <row r="355" spans="1:15" ht="19.5" customHeight="1">
      <c r="A355" s="319">
        <v>4292</v>
      </c>
      <c r="B355" s="319">
        <v>3635</v>
      </c>
      <c r="C355" s="319">
        <v>6119</v>
      </c>
      <c r="D355" s="319">
        <v>19</v>
      </c>
      <c r="E355" s="320" t="s">
        <v>1041</v>
      </c>
      <c r="F355" s="321">
        <v>0</v>
      </c>
      <c r="G355" s="322">
        <v>8925</v>
      </c>
      <c r="H355" s="323"/>
      <c r="I355" s="322">
        <f t="shared" si="44"/>
        <v>8925</v>
      </c>
      <c r="J355" s="322">
        <v>0</v>
      </c>
      <c r="K355" s="322">
        <v>8925</v>
      </c>
      <c r="L355" s="322">
        <f t="shared" si="45"/>
        <v>8925</v>
      </c>
      <c r="M355" s="322">
        <f t="shared" si="47"/>
        <v>100</v>
      </c>
      <c r="N355" s="324"/>
      <c r="O355" s="182"/>
    </row>
    <row r="356" spans="1:15" ht="19.5" customHeight="1">
      <c r="A356" s="319">
        <v>4294</v>
      </c>
      <c r="B356" s="319">
        <v>3635</v>
      </c>
      <c r="C356" s="319">
        <v>6119</v>
      </c>
      <c r="D356" s="319">
        <v>20</v>
      </c>
      <c r="E356" s="320" t="s">
        <v>1042</v>
      </c>
      <c r="F356" s="321">
        <v>500</v>
      </c>
      <c r="G356" s="322">
        <v>645400</v>
      </c>
      <c r="H356" s="323"/>
      <c r="I356" s="322">
        <f t="shared" si="44"/>
        <v>645400</v>
      </c>
      <c r="J356" s="322">
        <v>0</v>
      </c>
      <c r="K356" s="322">
        <v>484330</v>
      </c>
      <c r="L356" s="322">
        <f t="shared" si="45"/>
        <v>484330</v>
      </c>
      <c r="M356" s="322">
        <f t="shared" si="47"/>
        <v>75.04338394793926</v>
      </c>
      <c r="N356" s="324"/>
      <c r="O356" s="182"/>
    </row>
    <row r="357" spans="1:15" ht="19.5" customHeight="1">
      <c r="A357" s="319">
        <v>4374</v>
      </c>
      <c r="B357" s="319">
        <v>3635</v>
      </c>
      <c r="C357" s="319">
        <v>6119</v>
      </c>
      <c r="D357" s="319">
        <v>21</v>
      </c>
      <c r="E357" s="320" t="s">
        <v>1043</v>
      </c>
      <c r="F357" s="325">
        <v>2350</v>
      </c>
      <c r="G357" s="322">
        <v>2350000</v>
      </c>
      <c r="H357" s="323"/>
      <c r="I357" s="322">
        <f t="shared" si="44"/>
        <v>2350000</v>
      </c>
      <c r="J357" s="322">
        <v>0</v>
      </c>
      <c r="K357" s="322">
        <v>2324070</v>
      </c>
      <c r="L357" s="322">
        <f t="shared" si="45"/>
        <v>2324070</v>
      </c>
      <c r="M357" s="322">
        <f t="shared" si="47"/>
        <v>98.89659574468085</v>
      </c>
      <c r="N357" s="324"/>
      <c r="O357" s="182"/>
    </row>
    <row r="358" spans="1:15" ht="19.5" customHeight="1">
      <c r="A358" s="319">
        <v>4290</v>
      </c>
      <c r="B358" s="319">
        <v>3635</v>
      </c>
      <c r="C358" s="319">
        <v>6119</v>
      </c>
      <c r="D358" s="319">
        <v>22</v>
      </c>
      <c r="E358" s="320" t="s">
        <v>1044</v>
      </c>
      <c r="F358" s="321">
        <v>350</v>
      </c>
      <c r="G358" s="322">
        <v>516222</v>
      </c>
      <c r="H358" s="323"/>
      <c r="I358" s="322">
        <f t="shared" si="44"/>
        <v>516222</v>
      </c>
      <c r="J358" s="322">
        <v>0</v>
      </c>
      <c r="K358" s="322">
        <v>516222</v>
      </c>
      <c r="L358" s="322">
        <f t="shared" si="45"/>
        <v>516222</v>
      </c>
      <c r="M358" s="322">
        <f t="shared" si="47"/>
        <v>100</v>
      </c>
      <c r="N358" s="324"/>
      <c r="O358" s="182"/>
    </row>
    <row r="359" spans="1:15" ht="19.5" customHeight="1">
      <c r="A359" s="319">
        <v>4694</v>
      </c>
      <c r="B359" s="319">
        <v>3635</v>
      </c>
      <c r="C359" s="319">
        <v>6119</v>
      </c>
      <c r="D359" s="319">
        <v>23</v>
      </c>
      <c r="E359" s="320" t="s">
        <v>1045</v>
      </c>
      <c r="F359" s="321">
        <v>0</v>
      </c>
      <c r="G359" s="322">
        <v>350000</v>
      </c>
      <c r="H359" s="323"/>
      <c r="I359" s="322">
        <f t="shared" si="44"/>
        <v>350000</v>
      </c>
      <c r="J359" s="322">
        <v>0</v>
      </c>
      <c r="K359" s="322">
        <v>0</v>
      </c>
      <c r="L359" s="322">
        <f t="shared" si="45"/>
        <v>0</v>
      </c>
      <c r="M359" s="322">
        <v>0</v>
      </c>
      <c r="N359" s="324"/>
      <c r="O359" s="182"/>
    </row>
    <row r="360" spans="1:15" ht="19.5" customHeight="1">
      <c r="A360" s="319">
        <v>4286</v>
      </c>
      <c r="B360" s="319">
        <v>3635</v>
      </c>
      <c r="C360" s="319">
        <v>6119</v>
      </c>
      <c r="D360" s="319">
        <v>24</v>
      </c>
      <c r="E360" s="320" t="s">
        <v>1046</v>
      </c>
      <c r="F360" s="321">
        <v>180</v>
      </c>
      <c r="G360" s="322">
        <v>560000</v>
      </c>
      <c r="H360" s="323"/>
      <c r="I360" s="322">
        <f t="shared" si="44"/>
        <v>560000</v>
      </c>
      <c r="J360" s="322">
        <v>0</v>
      </c>
      <c r="K360" s="322">
        <v>557532</v>
      </c>
      <c r="L360" s="322">
        <f t="shared" si="45"/>
        <v>557532</v>
      </c>
      <c r="M360" s="322">
        <f>L360/I360*100</f>
        <v>99.55928571428572</v>
      </c>
      <c r="N360" s="324"/>
      <c r="O360" s="182"/>
    </row>
    <row r="361" spans="1:15" ht="19.5" customHeight="1" thickBot="1">
      <c r="A361" s="327">
        <v>4325</v>
      </c>
      <c r="B361" s="327">
        <v>3635</v>
      </c>
      <c r="C361" s="327">
        <v>6119</v>
      </c>
      <c r="D361" s="319">
        <v>25</v>
      </c>
      <c r="E361" s="328" t="s">
        <v>502</v>
      </c>
      <c r="F361" s="329">
        <v>300</v>
      </c>
      <c r="G361" s="330">
        <v>300000</v>
      </c>
      <c r="H361" s="331"/>
      <c r="I361" s="322">
        <f t="shared" si="44"/>
        <v>300000</v>
      </c>
      <c r="J361" s="322">
        <v>0</v>
      </c>
      <c r="K361" s="330">
        <v>177905</v>
      </c>
      <c r="L361" s="322">
        <f t="shared" si="45"/>
        <v>177905</v>
      </c>
      <c r="M361" s="330">
        <f>L361/I361*100</f>
        <v>59.30166666666666</v>
      </c>
      <c r="N361" s="332"/>
      <c r="O361" s="182"/>
    </row>
    <row r="362" spans="1:14" s="247" customFormat="1" ht="19.5" customHeight="1" thickBot="1">
      <c r="A362" s="333"/>
      <c r="B362" s="333"/>
      <c r="C362" s="333"/>
      <c r="D362" s="333"/>
      <c r="E362" s="334" t="s">
        <v>972</v>
      </c>
      <c r="F362" s="335">
        <f aca="true" t="shared" si="48" ref="F362:L362">SUM(F337:F361)</f>
        <v>9007</v>
      </c>
      <c r="G362" s="336">
        <f t="shared" si="48"/>
        <v>11983054</v>
      </c>
      <c r="H362" s="336">
        <f t="shared" si="48"/>
        <v>0</v>
      </c>
      <c r="I362" s="336">
        <f t="shared" si="48"/>
        <v>11983054</v>
      </c>
      <c r="J362" s="336">
        <f t="shared" si="48"/>
        <v>0</v>
      </c>
      <c r="K362" s="336">
        <f t="shared" si="48"/>
        <v>10497974.4</v>
      </c>
      <c r="L362" s="336">
        <f t="shared" si="48"/>
        <v>10497974.4</v>
      </c>
      <c r="M362" s="337">
        <f>L362/I362*100</f>
        <v>87.60683545279859</v>
      </c>
      <c r="N362" s="338"/>
    </row>
    <row r="363" spans="1:14" s="221" customFormat="1" ht="19.5" customHeight="1">
      <c r="A363" s="339"/>
      <c r="B363" s="339"/>
      <c r="C363" s="339"/>
      <c r="D363" s="339"/>
      <c r="E363" s="340"/>
      <c r="F363" s="341"/>
      <c r="G363" s="342"/>
      <c r="H363" s="342"/>
      <c r="I363" s="342"/>
      <c r="J363" s="342"/>
      <c r="K363" s="342"/>
      <c r="L363" s="342"/>
      <c r="M363" s="342"/>
      <c r="N363" s="343"/>
    </row>
    <row r="364" spans="1:15" ht="19.5" customHeight="1">
      <c r="A364" s="339"/>
      <c r="B364" s="339"/>
      <c r="C364" s="339"/>
      <c r="D364" s="339"/>
      <c r="E364" s="343"/>
      <c r="F364" s="343"/>
      <c r="G364" s="343"/>
      <c r="H364" s="344"/>
      <c r="I364" s="343"/>
      <c r="J364" s="343"/>
      <c r="K364" s="343"/>
      <c r="L364" s="343"/>
      <c r="M364" s="343"/>
      <c r="N364" s="343"/>
      <c r="O364" s="343"/>
    </row>
    <row r="365" spans="1:14" ht="19.5" customHeight="1">
      <c r="A365" s="284"/>
      <c r="B365" s="284"/>
      <c r="C365" s="284"/>
      <c r="D365" s="284"/>
      <c r="E365" s="178" t="s">
        <v>1047</v>
      </c>
      <c r="F365" s="179"/>
      <c r="G365" s="179"/>
      <c r="H365" s="180"/>
      <c r="I365" s="179"/>
      <c r="J365" s="179"/>
      <c r="K365" s="179"/>
      <c r="L365" s="179"/>
      <c r="M365" s="179"/>
      <c r="N365" s="250"/>
    </row>
    <row r="366" spans="1:14" ht="19.5" customHeight="1">
      <c r="A366" s="183">
        <v>4556</v>
      </c>
      <c r="B366" s="183">
        <v>3612</v>
      </c>
      <c r="C366" s="183">
        <v>6121</v>
      </c>
      <c r="D366" s="183">
        <v>1</v>
      </c>
      <c r="E366" s="184" t="s">
        <v>1048</v>
      </c>
      <c r="F366" s="185">
        <v>180</v>
      </c>
      <c r="G366" s="186">
        <v>76574</v>
      </c>
      <c r="H366" s="186"/>
      <c r="I366" s="186">
        <f aca="true" t="shared" si="49" ref="I366:I377">G366+H366</f>
        <v>76574</v>
      </c>
      <c r="J366" s="186">
        <v>0</v>
      </c>
      <c r="K366" s="186">
        <v>76574</v>
      </c>
      <c r="L366" s="186">
        <f aca="true" t="shared" si="50" ref="L366:L377">J366+K366</f>
        <v>76574</v>
      </c>
      <c r="M366" s="186">
        <f aca="true" t="shared" si="51" ref="M366:M378">L366/I366*100</f>
        <v>100</v>
      </c>
      <c r="N366" s="345"/>
    </row>
    <row r="367" spans="1:14" ht="19.5" customHeight="1">
      <c r="A367" s="183">
        <v>4413</v>
      </c>
      <c r="B367" s="183">
        <v>3612</v>
      </c>
      <c r="C367" s="183">
        <v>6121</v>
      </c>
      <c r="D367" s="183">
        <v>2</v>
      </c>
      <c r="E367" s="184" t="s">
        <v>1049</v>
      </c>
      <c r="F367" s="185">
        <v>13000</v>
      </c>
      <c r="G367" s="186">
        <v>11137225</v>
      </c>
      <c r="H367" s="186"/>
      <c r="I367" s="186">
        <f t="shared" si="49"/>
        <v>11137225</v>
      </c>
      <c r="J367" s="186">
        <v>0</v>
      </c>
      <c r="K367" s="186">
        <v>10958858.5</v>
      </c>
      <c r="L367" s="186">
        <f t="shared" si="50"/>
        <v>10958858.5</v>
      </c>
      <c r="M367" s="186">
        <f t="shared" si="51"/>
        <v>98.39846550644347</v>
      </c>
      <c r="N367" s="345"/>
    </row>
    <row r="368" spans="1:14" ht="19.5" customHeight="1">
      <c r="A368" s="183">
        <v>4559</v>
      </c>
      <c r="B368" s="183">
        <v>3612</v>
      </c>
      <c r="C368" s="183">
        <v>6121</v>
      </c>
      <c r="D368" s="183">
        <v>3</v>
      </c>
      <c r="E368" s="184" t="s">
        <v>1050</v>
      </c>
      <c r="F368" s="185">
        <v>1000</v>
      </c>
      <c r="G368" s="186">
        <v>1165739</v>
      </c>
      <c r="H368" s="186"/>
      <c r="I368" s="186">
        <f t="shared" si="49"/>
        <v>1165739</v>
      </c>
      <c r="J368" s="186">
        <v>0</v>
      </c>
      <c r="K368" s="186">
        <v>1165739</v>
      </c>
      <c r="L368" s="186">
        <f t="shared" si="50"/>
        <v>1165739</v>
      </c>
      <c r="M368" s="186">
        <f t="shared" si="51"/>
        <v>100</v>
      </c>
      <c r="N368" s="345"/>
    </row>
    <row r="369" spans="1:14" ht="19.5" customHeight="1">
      <c r="A369" s="183">
        <v>4487</v>
      </c>
      <c r="B369" s="183">
        <v>3111</v>
      </c>
      <c r="C369" s="183">
        <v>6121</v>
      </c>
      <c r="D369" s="183">
        <v>4</v>
      </c>
      <c r="E369" s="184" t="s">
        <v>1051</v>
      </c>
      <c r="F369" s="185">
        <v>900</v>
      </c>
      <c r="G369" s="186">
        <v>1019000</v>
      </c>
      <c r="H369" s="186"/>
      <c r="I369" s="186">
        <f t="shared" si="49"/>
        <v>1019000</v>
      </c>
      <c r="J369" s="186">
        <v>0</v>
      </c>
      <c r="K369" s="186">
        <v>1018667.5</v>
      </c>
      <c r="L369" s="186">
        <f t="shared" si="50"/>
        <v>1018667.5</v>
      </c>
      <c r="M369" s="186">
        <f t="shared" si="51"/>
        <v>99.96736997055937</v>
      </c>
      <c r="N369" s="345"/>
    </row>
    <row r="370" spans="1:14" ht="19.5" customHeight="1">
      <c r="A370" s="183">
        <v>4557</v>
      </c>
      <c r="B370" s="183">
        <v>3612</v>
      </c>
      <c r="C370" s="183">
        <v>6121</v>
      </c>
      <c r="D370" s="183">
        <v>5</v>
      </c>
      <c r="E370" s="184" t="s">
        <v>1052</v>
      </c>
      <c r="F370" s="185">
        <v>110</v>
      </c>
      <c r="G370" s="186">
        <v>62300</v>
      </c>
      <c r="H370" s="186"/>
      <c r="I370" s="186">
        <f t="shared" si="49"/>
        <v>62300</v>
      </c>
      <c r="J370" s="186">
        <v>0</v>
      </c>
      <c r="K370" s="186">
        <v>62299.5</v>
      </c>
      <c r="L370" s="186">
        <f t="shared" si="50"/>
        <v>62299.5</v>
      </c>
      <c r="M370" s="186">
        <f t="shared" si="51"/>
        <v>99.99919743178171</v>
      </c>
      <c r="N370" s="345"/>
    </row>
    <row r="371" spans="1:14" ht="19.5" customHeight="1">
      <c r="A371" s="183">
        <v>4659</v>
      </c>
      <c r="B371" s="183">
        <v>3613</v>
      </c>
      <c r="C371" s="183">
        <v>6121</v>
      </c>
      <c r="D371" s="183">
        <v>6</v>
      </c>
      <c r="E371" s="184" t="s">
        <v>1053</v>
      </c>
      <c r="F371" s="185">
        <v>0</v>
      </c>
      <c r="G371" s="186">
        <v>66521</v>
      </c>
      <c r="H371" s="186"/>
      <c r="I371" s="186">
        <f t="shared" si="49"/>
        <v>66521</v>
      </c>
      <c r="J371" s="186">
        <v>0</v>
      </c>
      <c r="K371" s="186">
        <v>66521</v>
      </c>
      <c r="L371" s="186">
        <f t="shared" si="50"/>
        <v>66521</v>
      </c>
      <c r="M371" s="186">
        <f t="shared" si="51"/>
        <v>100</v>
      </c>
      <c r="N371" s="345"/>
    </row>
    <row r="372" spans="1:14" ht="19.5" customHeight="1">
      <c r="A372" s="183">
        <v>4658</v>
      </c>
      <c r="B372" s="183">
        <v>3613</v>
      </c>
      <c r="C372" s="183">
        <v>6121</v>
      </c>
      <c r="D372" s="183">
        <v>7</v>
      </c>
      <c r="E372" s="184" t="s">
        <v>1054</v>
      </c>
      <c r="F372" s="185">
        <v>0</v>
      </c>
      <c r="G372" s="186">
        <v>549000</v>
      </c>
      <c r="H372" s="186"/>
      <c r="I372" s="186">
        <f t="shared" si="49"/>
        <v>549000</v>
      </c>
      <c r="J372" s="186">
        <v>0</v>
      </c>
      <c r="K372" s="186">
        <v>549000</v>
      </c>
      <c r="L372" s="186">
        <f t="shared" si="50"/>
        <v>549000</v>
      </c>
      <c r="M372" s="186">
        <f t="shared" si="51"/>
        <v>100</v>
      </c>
      <c r="N372" s="345"/>
    </row>
    <row r="373" spans="1:14" ht="19.5" customHeight="1">
      <c r="A373" s="183">
        <v>4408</v>
      </c>
      <c r="B373" s="183">
        <v>3612</v>
      </c>
      <c r="C373" s="183">
        <v>6121</v>
      </c>
      <c r="D373" s="183">
        <v>8</v>
      </c>
      <c r="E373" s="184" t="s">
        <v>1055</v>
      </c>
      <c r="F373" s="185">
        <v>9500</v>
      </c>
      <c r="G373" s="186">
        <v>8922602</v>
      </c>
      <c r="H373" s="186"/>
      <c r="I373" s="186">
        <f t="shared" si="49"/>
        <v>8922602</v>
      </c>
      <c r="J373" s="186">
        <v>0</v>
      </c>
      <c r="K373" s="186">
        <v>8922601</v>
      </c>
      <c r="L373" s="186">
        <f t="shared" si="50"/>
        <v>8922601</v>
      </c>
      <c r="M373" s="186">
        <f t="shared" si="51"/>
        <v>99.99998879250694</v>
      </c>
      <c r="N373" s="345"/>
    </row>
    <row r="374" spans="1:14" ht="19.5" customHeight="1">
      <c r="A374" s="183">
        <v>4407</v>
      </c>
      <c r="B374" s="183">
        <v>3612</v>
      </c>
      <c r="C374" s="183">
        <v>6121</v>
      </c>
      <c r="D374" s="183">
        <v>9</v>
      </c>
      <c r="E374" s="184" t="s">
        <v>1056</v>
      </c>
      <c r="F374" s="185">
        <v>1500</v>
      </c>
      <c r="G374" s="186">
        <v>2017000</v>
      </c>
      <c r="H374" s="186"/>
      <c r="I374" s="186">
        <f t="shared" si="49"/>
        <v>2017000</v>
      </c>
      <c r="J374" s="186">
        <v>0</v>
      </c>
      <c r="K374" s="186">
        <v>2016666.8</v>
      </c>
      <c r="L374" s="186">
        <f t="shared" si="50"/>
        <v>2016666.8</v>
      </c>
      <c r="M374" s="186">
        <f t="shared" si="51"/>
        <v>99.9834804164601</v>
      </c>
      <c r="N374" s="345"/>
    </row>
    <row r="375" spans="1:14" ht="19.5" customHeight="1">
      <c r="A375" s="183">
        <v>4560</v>
      </c>
      <c r="B375" s="183">
        <v>3541</v>
      </c>
      <c r="C375" s="183">
        <v>6121</v>
      </c>
      <c r="D375" s="183">
        <v>10</v>
      </c>
      <c r="E375" s="184" t="s">
        <v>1057</v>
      </c>
      <c r="F375" s="185">
        <v>660</v>
      </c>
      <c r="G375" s="186">
        <v>1133000</v>
      </c>
      <c r="H375" s="186"/>
      <c r="I375" s="186">
        <f t="shared" si="49"/>
        <v>1133000</v>
      </c>
      <c r="J375" s="186">
        <v>0</v>
      </c>
      <c r="K375" s="186">
        <v>1069068.8</v>
      </c>
      <c r="L375" s="186">
        <f t="shared" si="50"/>
        <v>1069068.8</v>
      </c>
      <c r="M375" s="186">
        <f t="shared" si="51"/>
        <v>94.35735216240072</v>
      </c>
      <c r="N375" s="345"/>
    </row>
    <row r="376" spans="1:14" ht="19.5" customHeight="1">
      <c r="A376" s="210">
        <v>4558</v>
      </c>
      <c r="B376" s="210">
        <v>3612</v>
      </c>
      <c r="C376" s="210">
        <v>6121</v>
      </c>
      <c r="D376" s="210">
        <v>11</v>
      </c>
      <c r="E376" s="211" t="s">
        <v>1058</v>
      </c>
      <c r="F376" s="212">
        <v>120</v>
      </c>
      <c r="G376" s="213">
        <v>57108</v>
      </c>
      <c r="H376" s="213"/>
      <c r="I376" s="213">
        <f t="shared" si="49"/>
        <v>57108</v>
      </c>
      <c r="J376" s="213">
        <v>0</v>
      </c>
      <c r="K376" s="213">
        <v>57108</v>
      </c>
      <c r="L376" s="186">
        <f t="shared" si="50"/>
        <v>57108</v>
      </c>
      <c r="M376" s="213">
        <f t="shared" si="51"/>
        <v>100</v>
      </c>
      <c r="N376" s="346"/>
    </row>
    <row r="377" spans="1:15" s="274" customFormat="1" ht="19.5" customHeight="1" thickBot="1">
      <c r="A377" s="268">
        <v>4685</v>
      </c>
      <c r="B377" s="268">
        <v>3612</v>
      </c>
      <c r="C377" s="268">
        <v>6121</v>
      </c>
      <c r="D377" s="268">
        <v>12</v>
      </c>
      <c r="E377" s="347" t="s">
        <v>1059</v>
      </c>
      <c r="F377" s="348">
        <v>0</v>
      </c>
      <c r="G377" s="349">
        <v>721054</v>
      </c>
      <c r="H377" s="349"/>
      <c r="I377" s="349">
        <f t="shared" si="49"/>
        <v>721054</v>
      </c>
      <c r="J377" s="349">
        <v>0</v>
      </c>
      <c r="K377" s="349">
        <v>721054</v>
      </c>
      <c r="L377" s="186">
        <f t="shared" si="50"/>
        <v>721054</v>
      </c>
      <c r="M377" s="213">
        <f t="shared" si="51"/>
        <v>100</v>
      </c>
      <c r="N377" s="350"/>
      <c r="O377" s="273"/>
    </row>
    <row r="378" spans="1:15" s="247" customFormat="1" ht="19.5" customHeight="1" thickBot="1">
      <c r="A378" s="246"/>
      <c r="B378" s="246"/>
      <c r="C378" s="246"/>
      <c r="D378" s="246"/>
      <c r="E378" s="275" t="s">
        <v>972</v>
      </c>
      <c r="F378" s="276">
        <f>SUM(F366:F376)</f>
        <v>26970</v>
      </c>
      <c r="G378" s="277">
        <f aca="true" t="shared" si="52" ref="G378:L378">SUM(G366:G377)</f>
        <v>26927123</v>
      </c>
      <c r="H378" s="277">
        <f t="shared" si="52"/>
        <v>0</v>
      </c>
      <c r="I378" s="277">
        <f t="shared" si="52"/>
        <v>26927123</v>
      </c>
      <c r="J378" s="277">
        <f t="shared" si="52"/>
        <v>0</v>
      </c>
      <c r="K378" s="277">
        <f t="shared" si="52"/>
        <v>26684158.1</v>
      </c>
      <c r="L378" s="277">
        <f t="shared" si="52"/>
        <v>26684158.1</v>
      </c>
      <c r="M378" s="244">
        <f t="shared" si="51"/>
        <v>99.09769454389911</v>
      </c>
      <c r="N378" s="245"/>
      <c r="O378" s="246"/>
    </row>
    <row r="379" spans="1:15" s="221" customFormat="1" ht="19.5" customHeight="1">
      <c r="A379" s="220"/>
      <c r="B379" s="220"/>
      <c r="C379" s="220"/>
      <c r="D379" s="220"/>
      <c r="E379" s="280"/>
      <c r="F379" s="281"/>
      <c r="G379" s="282"/>
      <c r="H379" s="282"/>
      <c r="I379" s="282"/>
      <c r="J379" s="282"/>
      <c r="K379" s="282"/>
      <c r="L379" s="282"/>
      <c r="M379" s="316"/>
      <c r="N379" s="250"/>
      <c r="O379" s="220"/>
    </row>
    <row r="380" spans="1:15" s="221" customFormat="1" ht="19.5" customHeight="1">
      <c r="A380" s="220"/>
      <c r="B380" s="220"/>
      <c r="C380" s="220"/>
      <c r="D380" s="220"/>
      <c r="E380" s="280"/>
      <c r="F380" s="281"/>
      <c r="G380" s="282"/>
      <c r="H380" s="282"/>
      <c r="I380" s="282"/>
      <c r="J380" s="282"/>
      <c r="K380" s="282"/>
      <c r="L380" s="282"/>
      <c r="M380" s="316"/>
      <c r="N380" s="250"/>
      <c r="O380" s="220"/>
    </row>
    <row r="381" spans="1:15" s="221" customFormat="1" ht="0.75" customHeight="1">
      <c r="A381" s="220"/>
      <c r="B381" s="220"/>
      <c r="C381" s="220"/>
      <c r="D381" s="220"/>
      <c r="E381" s="280"/>
      <c r="F381" s="281"/>
      <c r="G381" s="282"/>
      <c r="H381" s="282"/>
      <c r="I381" s="282"/>
      <c r="J381" s="282"/>
      <c r="K381" s="282"/>
      <c r="L381" s="282"/>
      <c r="M381" s="316"/>
      <c r="N381" s="250"/>
      <c r="O381" s="220"/>
    </row>
    <row r="382" spans="1:15" s="221" customFormat="1" ht="2.25" customHeight="1" hidden="1">
      <c r="A382" s="220"/>
      <c r="B382" s="220"/>
      <c r="C382" s="220"/>
      <c r="D382" s="220"/>
      <c r="E382" s="280"/>
      <c r="F382" s="281"/>
      <c r="G382" s="282"/>
      <c r="H382" s="282"/>
      <c r="I382" s="316"/>
      <c r="J382" s="316"/>
      <c r="K382" s="316"/>
      <c r="L382" s="316"/>
      <c r="M382" s="316"/>
      <c r="N382" s="250"/>
      <c r="O382" s="220"/>
    </row>
    <row r="383" spans="1:14" ht="19.5" customHeight="1">
      <c r="A383" s="251"/>
      <c r="B383" s="251"/>
      <c r="C383" s="251"/>
      <c r="D383" s="251"/>
      <c r="E383" s="178" t="s">
        <v>1060</v>
      </c>
      <c r="F383" s="179"/>
      <c r="G383" s="179"/>
      <c r="H383" s="180"/>
      <c r="I383" s="179"/>
      <c r="J383" s="179"/>
      <c r="K383" s="179"/>
      <c r="L383" s="179"/>
      <c r="M383" s="179"/>
      <c r="N383" s="250"/>
    </row>
    <row r="384" spans="1:15" ht="19.5" customHeight="1">
      <c r="A384" s="183">
        <v>995</v>
      </c>
      <c r="B384" s="183">
        <v>2321</v>
      </c>
      <c r="C384" s="183">
        <v>6121</v>
      </c>
      <c r="D384" s="183">
        <v>1</v>
      </c>
      <c r="E384" s="184" t="s">
        <v>1061</v>
      </c>
      <c r="F384" s="185">
        <v>7500</v>
      </c>
      <c r="G384" s="186">
        <v>7800000</v>
      </c>
      <c r="H384" s="186"/>
      <c r="I384" s="186">
        <f aca="true" t="shared" si="53" ref="I384:I409">G384+H384</f>
        <v>7800000</v>
      </c>
      <c r="J384" s="186">
        <v>1290376.82</v>
      </c>
      <c r="K384" s="186">
        <v>6052068.72</v>
      </c>
      <c r="L384" s="186">
        <f aca="true" t="shared" si="54" ref="L384:L409">J384+K384</f>
        <v>7342445.54</v>
      </c>
      <c r="M384" s="186">
        <f>L384/I384*100</f>
        <v>94.13391717948718</v>
      </c>
      <c r="N384" s="351"/>
      <c r="O384" s="352"/>
    </row>
    <row r="385" spans="1:14" ht="19.5" customHeight="1">
      <c r="A385" s="183">
        <v>4257</v>
      </c>
      <c r="B385" s="183">
        <v>6409</v>
      </c>
      <c r="C385" s="183">
        <v>6901</v>
      </c>
      <c r="D385" s="183">
        <v>2</v>
      </c>
      <c r="E385" s="184" t="s">
        <v>1062</v>
      </c>
      <c r="F385" s="185">
        <f>4168</f>
        <v>4168</v>
      </c>
      <c r="G385" s="186">
        <v>4168000</v>
      </c>
      <c r="H385" s="186"/>
      <c r="I385" s="186">
        <f t="shared" si="53"/>
        <v>4168000</v>
      </c>
      <c r="J385" s="186">
        <v>0</v>
      </c>
      <c r="K385" s="186">
        <v>0</v>
      </c>
      <c r="L385" s="186">
        <f t="shared" si="54"/>
        <v>0</v>
      </c>
      <c r="M385" s="186">
        <f>L385/I385*100</f>
        <v>0</v>
      </c>
      <c r="N385" s="353"/>
    </row>
    <row r="386" spans="1:14" ht="19.5" customHeight="1">
      <c r="A386" s="183">
        <v>4568</v>
      </c>
      <c r="B386" s="183">
        <v>2310</v>
      </c>
      <c r="C386" s="183">
        <v>6121</v>
      </c>
      <c r="D386" s="183">
        <v>3</v>
      </c>
      <c r="E386" s="184" t="s">
        <v>1063</v>
      </c>
      <c r="F386" s="185">
        <v>1000</v>
      </c>
      <c r="G386" s="186">
        <v>0</v>
      </c>
      <c r="H386" s="186"/>
      <c r="I386" s="186">
        <f t="shared" si="53"/>
        <v>0</v>
      </c>
      <c r="J386" s="186">
        <v>0</v>
      </c>
      <c r="K386" s="186">
        <v>0</v>
      </c>
      <c r="L386" s="186">
        <f t="shared" si="54"/>
        <v>0</v>
      </c>
      <c r="M386" s="186">
        <v>0</v>
      </c>
      <c r="N386" s="353"/>
    </row>
    <row r="387" spans="1:14" ht="19.5" customHeight="1">
      <c r="A387" s="183">
        <v>395</v>
      </c>
      <c r="B387" s="183">
        <v>2310</v>
      </c>
      <c r="C387" s="183">
        <v>6121</v>
      </c>
      <c r="D387" s="183">
        <v>4</v>
      </c>
      <c r="E387" s="184" t="s">
        <v>1064</v>
      </c>
      <c r="F387" s="189">
        <v>4500</v>
      </c>
      <c r="G387" s="186">
        <v>4500000</v>
      </c>
      <c r="H387" s="354"/>
      <c r="I387" s="186">
        <f t="shared" si="53"/>
        <v>4500000</v>
      </c>
      <c r="J387" s="186">
        <v>643090.6</v>
      </c>
      <c r="K387" s="186">
        <v>3379441.3</v>
      </c>
      <c r="L387" s="186">
        <f t="shared" si="54"/>
        <v>4022531.9</v>
      </c>
      <c r="M387" s="186">
        <f>L387/I387*100</f>
        <v>89.38959777777778</v>
      </c>
      <c r="N387" s="353"/>
    </row>
    <row r="388" spans="1:14" ht="19.5" customHeight="1">
      <c r="A388" s="183">
        <v>809</v>
      </c>
      <c r="B388" s="183">
        <v>2310</v>
      </c>
      <c r="C388" s="183">
        <v>6121</v>
      </c>
      <c r="D388" s="183">
        <v>5</v>
      </c>
      <c r="E388" s="184" t="s">
        <v>1065</v>
      </c>
      <c r="F388" s="185">
        <v>2500</v>
      </c>
      <c r="G388" s="186">
        <v>0</v>
      </c>
      <c r="H388" s="186"/>
      <c r="I388" s="186">
        <f t="shared" si="53"/>
        <v>0</v>
      </c>
      <c r="J388" s="186">
        <f>H388+I388</f>
        <v>0</v>
      </c>
      <c r="K388" s="186">
        <f>I388+J388</f>
        <v>0</v>
      </c>
      <c r="L388" s="186">
        <f t="shared" si="54"/>
        <v>0</v>
      </c>
      <c r="M388" s="186">
        <v>0</v>
      </c>
      <c r="N388" s="353"/>
    </row>
    <row r="389" spans="1:14" ht="19.5" customHeight="1">
      <c r="A389" s="183">
        <v>4415</v>
      </c>
      <c r="B389" s="183">
        <v>2310</v>
      </c>
      <c r="C389" s="183">
        <v>6121</v>
      </c>
      <c r="D389" s="183">
        <v>6</v>
      </c>
      <c r="E389" s="184" t="s">
        <v>1066</v>
      </c>
      <c r="F389" s="185">
        <v>500</v>
      </c>
      <c r="G389" s="186">
        <v>0</v>
      </c>
      <c r="H389" s="186"/>
      <c r="I389" s="186">
        <f t="shared" si="53"/>
        <v>0</v>
      </c>
      <c r="J389" s="186">
        <f>H389+I389</f>
        <v>0</v>
      </c>
      <c r="K389" s="186">
        <f>I389+J389</f>
        <v>0</v>
      </c>
      <c r="L389" s="186">
        <f t="shared" si="54"/>
        <v>0</v>
      </c>
      <c r="M389" s="186">
        <v>0</v>
      </c>
      <c r="N389" s="353"/>
    </row>
    <row r="390" spans="1:14" ht="19.5" customHeight="1">
      <c r="A390" s="183">
        <v>4562</v>
      </c>
      <c r="B390" s="183">
        <v>2310</v>
      </c>
      <c r="C390" s="183">
        <v>6121</v>
      </c>
      <c r="D390" s="183">
        <v>7</v>
      </c>
      <c r="E390" s="184" t="s">
        <v>1067</v>
      </c>
      <c r="F390" s="185">
        <v>2500</v>
      </c>
      <c r="G390" s="186">
        <v>1809000</v>
      </c>
      <c r="H390" s="186"/>
      <c r="I390" s="186">
        <f t="shared" si="53"/>
        <v>1809000</v>
      </c>
      <c r="J390" s="186">
        <v>307728.4</v>
      </c>
      <c r="K390" s="186">
        <v>1519707.16</v>
      </c>
      <c r="L390" s="186">
        <f t="shared" si="54"/>
        <v>1827435.56</v>
      </c>
      <c r="M390" s="186">
        <f aca="true" t="shared" si="55" ref="M390:M396">L390/I390*100</f>
        <v>101.01910226644554</v>
      </c>
      <c r="N390" s="353"/>
    </row>
    <row r="391" spans="1:14" ht="19.5" customHeight="1">
      <c r="A391" s="183">
        <v>4563</v>
      </c>
      <c r="B391" s="183">
        <v>2310</v>
      </c>
      <c r="C391" s="183">
        <v>6121</v>
      </c>
      <c r="D391" s="183">
        <v>8</v>
      </c>
      <c r="E391" s="184" t="s">
        <v>1068</v>
      </c>
      <c r="F391" s="185">
        <v>1500</v>
      </c>
      <c r="G391" s="186">
        <v>1500000</v>
      </c>
      <c r="H391" s="186"/>
      <c r="I391" s="186">
        <f t="shared" si="53"/>
        <v>1500000</v>
      </c>
      <c r="J391" s="186">
        <v>236267.52</v>
      </c>
      <c r="K391" s="186">
        <v>1244614.03</v>
      </c>
      <c r="L391" s="186">
        <f t="shared" si="54"/>
        <v>1480881.55</v>
      </c>
      <c r="M391" s="186">
        <f t="shared" si="55"/>
        <v>98.72543666666667</v>
      </c>
      <c r="N391" s="353"/>
    </row>
    <row r="392" spans="1:14" ht="19.5" customHeight="1">
      <c r="A392" s="183">
        <v>4566</v>
      </c>
      <c r="B392" s="183">
        <v>2310</v>
      </c>
      <c r="C392" s="183">
        <v>6121</v>
      </c>
      <c r="D392" s="183">
        <v>9</v>
      </c>
      <c r="E392" s="184" t="s">
        <v>1069</v>
      </c>
      <c r="F392" s="185">
        <v>1800</v>
      </c>
      <c r="G392" s="186">
        <v>2462000</v>
      </c>
      <c r="H392" s="186"/>
      <c r="I392" s="186">
        <f t="shared" si="53"/>
        <v>2462000</v>
      </c>
      <c r="J392" s="186">
        <v>392873.1</v>
      </c>
      <c r="K392" s="186">
        <v>2068972.7</v>
      </c>
      <c r="L392" s="186">
        <f t="shared" si="54"/>
        <v>2461845.8</v>
      </c>
      <c r="M392" s="186">
        <f t="shared" si="55"/>
        <v>99.99373679935012</v>
      </c>
      <c r="N392" s="353"/>
    </row>
    <row r="393" spans="1:14" ht="19.5" customHeight="1">
      <c r="A393" s="183">
        <v>4565</v>
      </c>
      <c r="B393" s="183">
        <v>2310</v>
      </c>
      <c r="C393" s="183">
        <v>6121</v>
      </c>
      <c r="D393" s="183">
        <v>10</v>
      </c>
      <c r="E393" s="184" t="s">
        <v>1070</v>
      </c>
      <c r="F393" s="185">
        <v>1300</v>
      </c>
      <c r="G393" s="186">
        <v>1155000</v>
      </c>
      <c r="H393" s="186"/>
      <c r="I393" s="186">
        <f t="shared" si="53"/>
        <v>1155000</v>
      </c>
      <c r="J393" s="186">
        <v>184359.5</v>
      </c>
      <c r="K393" s="186">
        <v>970313.2</v>
      </c>
      <c r="L393" s="186">
        <f t="shared" si="54"/>
        <v>1154672.7</v>
      </c>
      <c r="M393" s="186">
        <f t="shared" si="55"/>
        <v>99.97166233766234</v>
      </c>
      <c r="N393" s="353"/>
    </row>
    <row r="394" spans="1:14" ht="19.5" customHeight="1">
      <c r="A394" s="183">
        <v>4564</v>
      </c>
      <c r="B394" s="183">
        <v>2310</v>
      </c>
      <c r="C394" s="183">
        <v>6121</v>
      </c>
      <c r="D394" s="183">
        <v>11</v>
      </c>
      <c r="E394" s="184" t="s">
        <v>1071</v>
      </c>
      <c r="F394" s="185">
        <v>2600</v>
      </c>
      <c r="G394" s="186">
        <v>2471000</v>
      </c>
      <c r="H394" s="186"/>
      <c r="I394" s="186">
        <f t="shared" si="53"/>
        <v>2471000</v>
      </c>
      <c r="J394" s="186">
        <v>394342.27</v>
      </c>
      <c r="K394" s="186">
        <v>2076755.65</v>
      </c>
      <c r="L394" s="186">
        <f t="shared" si="54"/>
        <v>2471097.92</v>
      </c>
      <c r="M394" s="186">
        <f t="shared" si="55"/>
        <v>100.00396276811007</v>
      </c>
      <c r="N394" s="353"/>
    </row>
    <row r="395" spans="1:14" ht="19.5" customHeight="1">
      <c r="A395" s="183">
        <v>4418</v>
      </c>
      <c r="B395" s="183">
        <v>2310</v>
      </c>
      <c r="C395" s="183">
        <v>6121</v>
      </c>
      <c r="D395" s="183">
        <v>12</v>
      </c>
      <c r="E395" s="184" t="s">
        <v>1072</v>
      </c>
      <c r="F395" s="185">
        <v>5500</v>
      </c>
      <c r="G395" s="186">
        <v>5200000</v>
      </c>
      <c r="H395" s="186"/>
      <c r="I395" s="186">
        <f t="shared" si="53"/>
        <v>5200000</v>
      </c>
      <c r="J395" s="186">
        <v>790190.51</v>
      </c>
      <c r="K395" s="186">
        <v>4206494.99</v>
      </c>
      <c r="L395" s="186">
        <f t="shared" si="54"/>
        <v>4996685.5</v>
      </c>
      <c r="M395" s="186">
        <f t="shared" si="55"/>
        <v>96.09010576923077</v>
      </c>
      <c r="N395" s="353"/>
    </row>
    <row r="396" spans="1:14" ht="19.5" customHeight="1">
      <c r="A396" s="183">
        <v>4417</v>
      </c>
      <c r="B396" s="183">
        <v>2310</v>
      </c>
      <c r="C396" s="183">
        <v>6121</v>
      </c>
      <c r="D396" s="183">
        <v>13</v>
      </c>
      <c r="E396" s="184" t="s">
        <v>1073</v>
      </c>
      <c r="F396" s="185">
        <v>1500</v>
      </c>
      <c r="G396" s="186">
        <v>1700000</v>
      </c>
      <c r="H396" s="186"/>
      <c r="I396" s="186">
        <f t="shared" si="53"/>
        <v>1700000</v>
      </c>
      <c r="J396" s="186">
        <v>269106.5</v>
      </c>
      <c r="K396" s="186">
        <v>1416346.8</v>
      </c>
      <c r="L396" s="186">
        <f t="shared" si="54"/>
        <v>1685453.3</v>
      </c>
      <c r="M396" s="186">
        <f t="shared" si="55"/>
        <v>99.14431176470589</v>
      </c>
      <c r="N396" s="353"/>
    </row>
    <row r="397" spans="1:14" ht="19.5" customHeight="1">
      <c r="A397" s="183">
        <v>978</v>
      </c>
      <c r="B397" s="183">
        <v>2321</v>
      </c>
      <c r="C397" s="183">
        <v>6121</v>
      </c>
      <c r="D397" s="183">
        <v>14</v>
      </c>
      <c r="E397" s="184" t="s">
        <v>842</v>
      </c>
      <c r="F397" s="185">
        <v>50000</v>
      </c>
      <c r="G397" s="186">
        <v>0</v>
      </c>
      <c r="H397" s="186"/>
      <c r="I397" s="186">
        <f t="shared" si="53"/>
        <v>0</v>
      </c>
      <c r="J397" s="186">
        <f>H397+I397</f>
        <v>0</v>
      </c>
      <c r="K397" s="186">
        <f>I397+J397</f>
        <v>0</v>
      </c>
      <c r="L397" s="186">
        <f t="shared" si="54"/>
        <v>0</v>
      </c>
      <c r="M397" s="186">
        <v>0</v>
      </c>
      <c r="N397" s="353"/>
    </row>
    <row r="398" spans="1:14" ht="19.5" customHeight="1">
      <c r="A398" s="183">
        <v>4571</v>
      </c>
      <c r="B398" s="183">
        <v>2321</v>
      </c>
      <c r="C398" s="183">
        <v>6121</v>
      </c>
      <c r="D398" s="183">
        <v>15</v>
      </c>
      <c r="E398" s="184" t="s">
        <v>1074</v>
      </c>
      <c r="F398" s="185">
        <v>4000</v>
      </c>
      <c r="G398" s="186">
        <v>3853000</v>
      </c>
      <c r="H398" s="186"/>
      <c r="I398" s="186">
        <f t="shared" si="53"/>
        <v>3853000</v>
      </c>
      <c r="J398" s="186">
        <v>606617.39</v>
      </c>
      <c r="K398" s="186">
        <v>3220623.01</v>
      </c>
      <c r="L398" s="186">
        <f t="shared" si="54"/>
        <v>3827240.4</v>
      </c>
      <c r="M398" s="186">
        <f aca="true" t="shared" si="56" ref="M398:M410">L398/I398*100</f>
        <v>99.33144043602388</v>
      </c>
      <c r="N398" s="215"/>
    </row>
    <row r="399" spans="1:14" ht="19.5" customHeight="1">
      <c r="A399" s="183">
        <v>4572</v>
      </c>
      <c r="B399" s="183">
        <v>2321</v>
      </c>
      <c r="C399" s="183">
        <v>6121</v>
      </c>
      <c r="D399" s="183">
        <v>16</v>
      </c>
      <c r="E399" s="184" t="s">
        <v>1075</v>
      </c>
      <c r="F399" s="185">
        <v>2000</v>
      </c>
      <c r="G399" s="186">
        <v>1800000</v>
      </c>
      <c r="H399" s="186"/>
      <c r="I399" s="186">
        <f t="shared" si="53"/>
        <v>1800000</v>
      </c>
      <c r="J399" s="186">
        <v>273130.13</v>
      </c>
      <c r="K399" s="186">
        <v>1437527.07</v>
      </c>
      <c r="L399" s="186">
        <f t="shared" si="54"/>
        <v>1710657.2000000002</v>
      </c>
      <c r="M399" s="186">
        <f t="shared" si="56"/>
        <v>95.03651111111112</v>
      </c>
      <c r="N399" s="215"/>
    </row>
    <row r="400" spans="1:14" ht="19.5" customHeight="1">
      <c r="A400" s="183">
        <v>4569</v>
      </c>
      <c r="B400" s="183">
        <v>2321</v>
      </c>
      <c r="C400" s="183">
        <v>6121</v>
      </c>
      <c r="D400" s="183">
        <v>17</v>
      </c>
      <c r="E400" s="184" t="s">
        <v>1076</v>
      </c>
      <c r="F400" s="185">
        <v>5000</v>
      </c>
      <c r="G400" s="186">
        <v>3500000</v>
      </c>
      <c r="H400" s="186"/>
      <c r="I400" s="186">
        <f t="shared" si="53"/>
        <v>3500000</v>
      </c>
      <c r="J400" s="186">
        <v>550932.12</v>
      </c>
      <c r="K400" s="186">
        <v>2929582.54</v>
      </c>
      <c r="L400" s="186">
        <f t="shared" si="54"/>
        <v>3480514.66</v>
      </c>
      <c r="M400" s="186">
        <f t="shared" si="56"/>
        <v>99.443276</v>
      </c>
      <c r="N400" s="215"/>
    </row>
    <row r="401" spans="1:14" ht="19.5" customHeight="1">
      <c r="A401" s="183">
        <v>4425</v>
      </c>
      <c r="B401" s="183">
        <v>2321</v>
      </c>
      <c r="C401" s="183">
        <v>6121</v>
      </c>
      <c r="D401" s="183">
        <v>18</v>
      </c>
      <c r="E401" s="184" t="s">
        <v>1077</v>
      </c>
      <c r="F401" s="185">
        <v>5800</v>
      </c>
      <c r="G401" s="186">
        <v>10800000</v>
      </c>
      <c r="H401" s="186"/>
      <c r="I401" s="186">
        <f t="shared" si="53"/>
        <v>10800000</v>
      </c>
      <c r="J401" s="186">
        <v>1709279.65</v>
      </c>
      <c r="K401" s="186">
        <v>8996153.5</v>
      </c>
      <c r="L401" s="186">
        <f t="shared" si="54"/>
        <v>10705433.15</v>
      </c>
      <c r="M401" s="186">
        <f t="shared" si="56"/>
        <v>99.12438101851852</v>
      </c>
      <c r="N401" s="215"/>
    </row>
    <row r="402" spans="1:14" ht="19.5" customHeight="1">
      <c r="A402" s="183">
        <v>4424</v>
      </c>
      <c r="B402" s="183">
        <v>2321</v>
      </c>
      <c r="C402" s="183">
        <v>6121</v>
      </c>
      <c r="D402" s="183">
        <v>19</v>
      </c>
      <c r="E402" s="184" t="s">
        <v>1078</v>
      </c>
      <c r="F402" s="185">
        <v>4000</v>
      </c>
      <c r="G402" s="186">
        <v>6900000</v>
      </c>
      <c r="H402" s="186"/>
      <c r="I402" s="186">
        <f t="shared" si="53"/>
        <v>6900000</v>
      </c>
      <c r="J402" s="186">
        <v>1087445.65</v>
      </c>
      <c r="K402" s="186">
        <v>5771000.7</v>
      </c>
      <c r="L402" s="186">
        <f t="shared" si="54"/>
        <v>6858446.35</v>
      </c>
      <c r="M402" s="186">
        <f t="shared" si="56"/>
        <v>99.3977731884058</v>
      </c>
      <c r="N402" s="353"/>
    </row>
    <row r="403" spans="1:14" ht="19.5" customHeight="1">
      <c r="A403" s="183">
        <v>4567</v>
      </c>
      <c r="B403" s="183">
        <v>2310</v>
      </c>
      <c r="C403" s="183">
        <v>6121</v>
      </c>
      <c r="D403" s="183">
        <v>20</v>
      </c>
      <c r="E403" s="184" t="s">
        <v>1079</v>
      </c>
      <c r="F403" s="185">
        <v>2500</v>
      </c>
      <c r="G403" s="186">
        <v>1600000</v>
      </c>
      <c r="H403" s="186"/>
      <c r="I403" s="186">
        <f t="shared" si="53"/>
        <v>1600000</v>
      </c>
      <c r="J403" s="186">
        <v>234299.9</v>
      </c>
      <c r="K403" s="186">
        <v>1233157.8</v>
      </c>
      <c r="L403" s="186">
        <f t="shared" si="54"/>
        <v>1467457.7</v>
      </c>
      <c r="M403" s="186">
        <f t="shared" si="56"/>
        <v>91.71610625</v>
      </c>
      <c r="N403" s="353"/>
    </row>
    <row r="404" spans="1:14" ht="19.5" customHeight="1">
      <c r="A404" s="183">
        <v>4416</v>
      </c>
      <c r="B404" s="183">
        <v>2310</v>
      </c>
      <c r="C404" s="183">
        <v>6121</v>
      </c>
      <c r="D404" s="183">
        <v>21</v>
      </c>
      <c r="E404" s="184" t="s">
        <v>1080</v>
      </c>
      <c r="F404" s="185">
        <v>3900</v>
      </c>
      <c r="G404" s="186">
        <v>4200000</v>
      </c>
      <c r="H404" s="186"/>
      <c r="I404" s="186">
        <f t="shared" si="53"/>
        <v>4200000</v>
      </c>
      <c r="J404" s="186">
        <v>651983.38</v>
      </c>
      <c r="K404" s="186">
        <v>3479091.74</v>
      </c>
      <c r="L404" s="186">
        <f t="shared" si="54"/>
        <v>4131075.12</v>
      </c>
      <c r="M404" s="186">
        <f t="shared" si="56"/>
        <v>98.35893142857142</v>
      </c>
      <c r="N404" s="215"/>
    </row>
    <row r="405" spans="1:14" ht="19.5" customHeight="1">
      <c r="A405" s="183">
        <v>4570</v>
      </c>
      <c r="B405" s="183">
        <v>2321</v>
      </c>
      <c r="C405" s="183">
        <v>6121</v>
      </c>
      <c r="D405" s="183">
        <v>22</v>
      </c>
      <c r="E405" s="184" t="s">
        <v>1081</v>
      </c>
      <c r="F405" s="185">
        <v>6500</v>
      </c>
      <c r="G405" s="186">
        <v>5300000</v>
      </c>
      <c r="H405" s="186"/>
      <c r="I405" s="186">
        <f t="shared" si="53"/>
        <v>5300000</v>
      </c>
      <c r="J405" s="186">
        <v>809633.05</v>
      </c>
      <c r="K405" s="186">
        <v>4261227.2</v>
      </c>
      <c r="L405" s="186">
        <f t="shared" si="54"/>
        <v>5070860.25</v>
      </c>
      <c r="M405" s="186">
        <f t="shared" si="56"/>
        <v>95.67660849056604</v>
      </c>
      <c r="N405" s="215"/>
    </row>
    <row r="406" spans="1:14" ht="19.5" customHeight="1">
      <c r="A406" s="183">
        <v>4561</v>
      </c>
      <c r="B406" s="183">
        <v>2310</v>
      </c>
      <c r="C406" s="183">
        <v>6121</v>
      </c>
      <c r="D406" s="183">
        <v>23</v>
      </c>
      <c r="E406" s="184" t="s">
        <v>1082</v>
      </c>
      <c r="F406" s="185">
        <v>2500</v>
      </c>
      <c r="G406" s="186">
        <v>1500000</v>
      </c>
      <c r="H406" s="186"/>
      <c r="I406" s="186">
        <f t="shared" si="53"/>
        <v>1500000</v>
      </c>
      <c r="J406" s="186">
        <v>227636.5</v>
      </c>
      <c r="K406" s="186">
        <v>1245687.2</v>
      </c>
      <c r="L406" s="186">
        <f t="shared" si="54"/>
        <v>1473323.7</v>
      </c>
      <c r="M406" s="186">
        <f t="shared" si="56"/>
        <v>98.22158</v>
      </c>
      <c r="N406" s="215"/>
    </row>
    <row r="407" spans="1:14" ht="19.5" customHeight="1">
      <c r="A407" s="183">
        <v>4420</v>
      </c>
      <c r="B407" s="183">
        <v>2310</v>
      </c>
      <c r="C407" s="183">
        <v>6121</v>
      </c>
      <c r="D407" s="183">
        <v>24</v>
      </c>
      <c r="E407" s="184" t="s">
        <v>1083</v>
      </c>
      <c r="F407" s="185">
        <v>1000</v>
      </c>
      <c r="G407" s="186">
        <v>1850000</v>
      </c>
      <c r="H407" s="186"/>
      <c r="I407" s="186">
        <f t="shared" si="53"/>
        <v>1850000</v>
      </c>
      <c r="J407" s="186">
        <v>291530.8</v>
      </c>
      <c r="K407" s="186">
        <v>1534371.8</v>
      </c>
      <c r="L407" s="186">
        <f t="shared" si="54"/>
        <v>1825902.6</v>
      </c>
      <c r="M407" s="186">
        <f t="shared" si="56"/>
        <v>98.69743783783784</v>
      </c>
      <c r="N407" s="215"/>
    </row>
    <row r="408" spans="1:14" ht="19.5" customHeight="1">
      <c r="A408" s="183">
        <v>610</v>
      </c>
      <c r="B408" s="183">
        <v>2321</v>
      </c>
      <c r="C408" s="183">
        <v>6121</v>
      </c>
      <c r="D408" s="183">
        <v>25</v>
      </c>
      <c r="E408" s="184" t="s">
        <v>1084</v>
      </c>
      <c r="F408" s="189">
        <v>200</v>
      </c>
      <c r="G408" s="186">
        <v>200000</v>
      </c>
      <c r="H408" s="354"/>
      <c r="I408" s="186">
        <f t="shared" si="53"/>
        <v>200000</v>
      </c>
      <c r="J408" s="186">
        <v>31935.2</v>
      </c>
      <c r="K408" s="186">
        <v>168080</v>
      </c>
      <c r="L408" s="186">
        <f t="shared" si="54"/>
        <v>200015.2</v>
      </c>
      <c r="M408" s="186">
        <f t="shared" si="56"/>
        <v>100.0076</v>
      </c>
      <c r="N408" s="215"/>
    </row>
    <row r="409" spans="1:14" ht="19.5" customHeight="1" thickBot="1">
      <c r="A409" s="210">
        <v>606</v>
      </c>
      <c r="B409" s="210">
        <v>2310</v>
      </c>
      <c r="C409" s="210">
        <v>6121</v>
      </c>
      <c r="D409" s="183">
        <v>26</v>
      </c>
      <c r="E409" s="211" t="s">
        <v>1085</v>
      </c>
      <c r="F409" s="260">
        <v>200</v>
      </c>
      <c r="G409" s="186">
        <v>200000</v>
      </c>
      <c r="H409" s="355"/>
      <c r="I409" s="186">
        <f t="shared" si="53"/>
        <v>200000</v>
      </c>
      <c r="J409" s="186">
        <v>30615.85</v>
      </c>
      <c r="K409" s="213">
        <v>161136</v>
      </c>
      <c r="L409" s="186">
        <f t="shared" si="54"/>
        <v>191751.85</v>
      </c>
      <c r="M409" s="213">
        <f t="shared" si="56"/>
        <v>95.87592500000001</v>
      </c>
      <c r="N409" s="356"/>
    </row>
    <row r="410" spans="1:15" s="358" customFormat="1" ht="19.5" customHeight="1" thickBot="1">
      <c r="A410" s="357"/>
      <c r="B410" s="357"/>
      <c r="C410" s="357"/>
      <c r="D410" s="357"/>
      <c r="E410" s="242" t="s">
        <v>914</v>
      </c>
      <c r="F410" s="243">
        <f aca="true" t="shared" si="57" ref="F410:L410">SUM(F384:F409)</f>
        <v>124468</v>
      </c>
      <c r="G410" s="244">
        <f t="shared" si="57"/>
        <v>74468000</v>
      </c>
      <c r="H410" s="244">
        <f t="shared" si="57"/>
        <v>0</v>
      </c>
      <c r="I410" s="244">
        <f t="shared" si="57"/>
        <v>74468000</v>
      </c>
      <c r="J410" s="244">
        <f t="shared" si="57"/>
        <v>11013374.840000002</v>
      </c>
      <c r="K410" s="244">
        <f t="shared" si="57"/>
        <v>57372353.11000001</v>
      </c>
      <c r="L410" s="244">
        <f t="shared" si="57"/>
        <v>68385727.95</v>
      </c>
      <c r="M410" s="244">
        <f t="shared" si="56"/>
        <v>91.8323681984208</v>
      </c>
      <c r="N410" s="357"/>
      <c r="O410" s="357"/>
    </row>
    <row r="411" spans="1:15" s="360" customFormat="1" ht="19.5" customHeight="1">
      <c r="A411" s="359"/>
      <c r="B411" s="359"/>
      <c r="C411" s="359"/>
      <c r="D411" s="359"/>
      <c r="E411" s="314"/>
      <c r="F411" s="315"/>
      <c r="G411" s="316"/>
      <c r="H411" s="316"/>
      <c r="I411" s="316"/>
      <c r="J411" s="316"/>
      <c r="K411" s="316"/>
      <c r="L411" s="316"/>
      <c r="M411" s="316"/>
      <c r="N411" s="359"/>
      <c r="O411" s="359"/>
    </row>
    <row r="412" spans="1:15" s="360" customFormat="1" ht="13.5" customHeight="1">
      <c r="A412" s="359"/>
      <c r="B412" s="359"/>
      <c r="C412" s="359"/>
      <c r="D412" s="359"/>
      <c r="E412" s="314"/>
      <c r="F412" s="315"/>
      <c r="G412" s="316"/>
      <c r="H412" s="316"/>
      <c r="I412" s="316"/>
      <c r="J412" s="316"/>
      <c r="K412" s="316"/>
      <c r="L412" s="316"/>
      <c r="M412" s="316"/>
      <c r="N412" s="359"/>
      <c r="O412" s="359"/>
    </row>
    <row r="413" spans="1:15" s="360" customFormat="1" ht="0.75" customHeight="1">
      <c r="A413" s="359"/>
      <c r="B413" s="359"/>
      <c r="C413" s="359"/>
      <c r="D413" s="359"/>
      <c r="E413" s="314"/>
      <c r="F413" s="315"/>
      <c r="G413" s="316"/>
      <c r="H413" s="316"/>
      <c r="I413" s="316"/>
      <c r="J413" s="316"/>
      <c r="K413" s="316"/>
      <c r="L413" s="316"/>
      <c r="M413" s="316"/>
      <c r="N413" s="359"/>
      <c r="O413" s="359"/>
    </row>
    <row r="414" spans="1:15" s="360" customFormat="1" ht="19.5" customHeight="1" hidden="1">
      <c r="A414" s="359"/>
      <c r="B414" s="359"/>
      <c r="C414" s="359"/>
      <c r="D414" s="359"/>
      <c r="E414" s="314"/>
      <c r="F414" s="315"/>
      <c r="G414" s="316"/>
      <c r="H414" s="316"/>
      <c r="I414" s="316"/>
      <c r="J414" s="316"/>
      <c r="K414" s="316"/>
      <c r="L414" s="316"/>
      <c r="M414" s="316"/>
      <c r="N414" s="359"/>
      <c r="O414" s="359"/>
    </row>
    <row r="415" spans="5:13" ht="19.5" customHeight="1" hidden="1">
      <c r="E415" s="181"/>
      <c r="F415" s="179"/>
      <c r="G415" s="179"/>
      <c r="H415" s="180"/>
      <c r="I415" s="179"/>
      <c r="J415" s="179"/>
      <c r="K415" s="179"/>
      <c r="L415" s="179"/>
      <c r="M415" s="179"/>
    </row>
    <row r="416" spans="5:13" ht="19.5" customHeight="1" thickBot="1">
      <c r="E416" s="178" t="s">
        <v>1086</v>
      </c>
      <c r="F416" s="179"/>
      <c r="G416" s="179"/>
      <c r="H416" s="180"/>
      <c r="I416" s="179"/>
      <c r="J416" s="179"/>
      <c r="K416" s="179"/>
      <c r="L416" s="179"/>
      <c r="M416" s="179"/>
    </row>
    <row r="417" spans="1:14" ht="19.5" customHeight="1">
      <c r="A417" s="361"/>
      <c r="B417" s="362"/>
      <c r="C417" s="362"/>
      <c r="D417" s="363">
        <v>1</v>
      </c>
      <c r="E417" s="364" t="s">
        <v>1087</v>
      </c>
      <c r="F417" s="365">
        <f>F362+F332+F283+F225</f>
        <v>918695</v>
      </c>
      <c r="G417" s="366">
        <f>G362+G332+G283+G225</f>
        <v>1223807664.3400002</v>
      </c>
      <c r="H417" s="366" t="e">
        <f>H362+H332+H283+H225-#REF!</f>
        <v>#REF!</v>
      </c>
      <c r="I417" s="366">
        <f>I362+I332+I283+I225-I421</f>
        <v>1231844999.37</v>
      </c>
      <c r="J417" s="366">
        <f>J362+J332+J283+J225-J421</f>
        <v>65854131.24000001</v>
      </c>
      <c r="K417" s="366">
        <f>K362+K332+K283+K225-K421</f>
        <v>1034150028.47</v>
      </c>
      <c r="L417" s="366">
        <f>L362+L332+L283+L225-L421</f>
        <v>1100004159.71</v>
      </c>
      <c r="M417" s="367">
        <f>L417/I417*100</f>
        <v>89.29728661256677</v>
      </c>
      <c r="N417" s="368" t="s">
        <v>1088</v>
      </c>
    </row>
    <row r="418" spans="1:14" ht="19.5" customHeight="1">
      <c r="A418" s="369"/>
      <c r="B418" s="215"/>
      <c r="C418" s="215"/>
      <c r="D418" s="183">
        <v>2</v>
      </c>
      <c r="E418" s="184" t="s">
        <v>1089</v>
      </c>
      <c r="F418" s="185">
        <f>F378</f>
        <v>26970</v>
      </c>
      <c r="G418" s="186">
        <f>G378</f>
        <v>26927123</v>
      </c>
      <c r="H418" s="186">
        <f>H378</f>
        <v>0</v>
      </c>
      <c r="I418" s="186">
        <f>I378</f>
        <v>26927123</v>
      </c>
      <c r="J418" s="186">
        <v>0</v>
      </c>
      <c r="K418" s="186">
        <f>K378</f>
        <v>26684158.1</v>
      </c>
      <c r="L418" s="186">
        <f>L378</f>
        <v>26684158.1</v>
      </c>
      <c r="M418" s="186">
        <f>L418/I418*100</f>
        <v>99.09769454389911</v>
      </c>
      <c r="N418" s="370" t="s">
        <v>1090</v>
      </c>
    </row>
    <row r="419" spans="1:14" ht="19.5" customHeight="1" thickBot="1">
      <c r="A419" s="371"/>
      <c r="B419" s="356"/>
      <c r="C419" s="356"/>
      <c r="D419" s="210">
        <v>3</v>
      </c>
      <c r="E419" s="211" t="s">
        <v>1091</v>
      </c>
      <c r="F419" s="212">
        <f aca="true" t="shared" si="58" ref="F419:L419">F410</f>
        <v>124468</v>
      </c>
      <c r="G419" s="213">
        <f t="shared" si="58"/>
        <v>74468000</v>
      </c>
      <c r="H419" s="213">
        <f t="shared" si="58"/>
        <v>0</v>
      </c>
      <c r="I419" s="213">
        <f t="shared" si="58"/>
        <v>74468000</v>
      </c>
      <c r="J419" s="213">
        <f t="shared" si="58"/>
        <v>11013374.840000002</v>
      </c>
      <c r="K419" s="213">
        <f t="shared" si="58"/>
        <v>57372353.11000001</v>
      </c>
      <c r="L419" s="213">
        <f t="shared" si="58"/>
        <v>68385727.95</v>
      </c>
      <c r="M419" s="372">
        <f>L419/I419*100</f>
        <v>91.8323681984208</v>
      </c>
      <c r="N419" s="373" t="s">
        <v>1092</v>
      </c>
    </row>
    <row r="420" spans="1:15" s="247" customFormat="1" ht="19.5" customHeight="1" thickBot="1">
      <c r="A420" s="246"/>
      <c r="B420" s="246"/>
      <c r="C420" s="246"/>
      <c r="D420" s="246"/>
      <c r="E420" s="275" t="s">
        <v>1093</v>
      </c>
      <c r="F420" s="276">
        <f>F417+F418+F419</f>
        <v>1070133</v>
      </c>
      <c r="G420" s="277">
        <f>G417+G418+G419</f>
        <v>1325202787.3400002</v>
      </c>
      <c r="H420" s="277" t="e">
        <f>H417+H418+H419+#REF!</f>
        <v>#REF!</v>
      </c>
      <c r="I420" s="277">
        <f>I417+I418+I419</f>
        <v>1333240122.37</v>
      </c>
      <c r="J420" s="277">
        <f>J417+J418+J419</f>
        <v>76867506.08000001</v>
      </c>
      <c r="K420" s="277">
        <f>K417+K418+K419</f>
        <v>1118206539.68</v>
      </c>
      <c r="L420" s="277">
        <f>L417+L418+L419</f>
        <v>1195074045.76</v>
      </c>
      <c r="M420" s="244">
        <f>L420/I420*100</f>
        <v>89.63681978274157</v>
      </c>
      <c r="N420" s="245"/>
      <c r="O420" s="246"/>
    </row>
    <row r="421" spans="1:14" ht="19.5" customHeight="1" thickBot="1">
      <c r="A421" s="374"/>
      <c r="B421" s="375"/>
      <c r="C421" s="375"/>
      <c r="D421" s="232">
        <v>4</v>
      </c>
      <c r="E421" s="364" t="s">
        <v>1094</v>
      </c>
      <c r="F421" s="218">
        <v>0</v>
      </c>
      <c r="G421" s="219">
        <v>0</v>
      </c>
      <c r="H421" s="219">
        <f>H145+H143+H128+H126+H89+H87+H52+H54</f>
        <v>0</v>
      </c>
      <c r="I421" s="219">
        <v>34349.39</v>
      </c>
      <c r="J421" s="219">
        <f>J145+J143+J128+J126+J89+J87+J52+J54</f>
        <v>0</v>
      </c>
      <c r="K421" s="219">
        <v>34349.39</v>
      </c>
      <c r="L421" s="219">
        <v>34349.39</v>
      </c>
      <c r="M421" s="367">
        <f>L421/I421*100</f>
        <v>100</v>
      </c>
      <c r="N421" s="376" t="s">
        <v>1095</v>
      </c>
    </row>
    <row r="422" spans="1:178" s="386" customFormat="1" ht="19.5" customHeight="1" thickBot="1">
      <c r="A422" s="377"/>
      <c r="B422" s="377"/>
      <c r="C422" s="377"/>
      <c r="D422" s="377"/>
      <c r="E422" s="378" t="s">
        <v>1096</v>
      </c>
      <c r="F422" s="379">
        <f>F420</f>
        <v>1070133</v>
      </c>
      <c r="G422" s="380"/>
      <c r="H422" s="381"/>
      <c r="I422" s="382">
        <f>I420+I421</f>
        <v>1333274471.76</v>
      </c>
      <c r="J422" s="382">
        <f>J420+J421</f>
        <v>76867506.08000001</v>
      </c>
      <c r="K422" s="382">
        <f>K420+K421</f>
        <v>1118240889.0700002</v>
      </c>
      <c r="L422" s="382">
        <f>L420+L421</f>
        <v>1195108395.15</v>
      </c>
      <c r="M422" s="383"/>
      <c r="N422" s="384"/>
      <c r="O422" s="385"/>
      <c r="P422" s="385"/>
      <c r="Q422" s="385"/>
      <c r="R422" s="385"/>
      <c r="S422" s="385"/>
      <c r="T422" s="385"/>
      <c r="U422" s="385"/>
      <c r="V422" s="385"/>
      <c r="W422" s="385"/>
      <c r="X422" s="385"/>
      <c r="Y422" s="385"/>
      <c r="Z422" s="385"/>
      <c r="AA422" s="385"/>
      <c r="AB422" s="385"/>
      <c r="AC422" s="385"/>
      <c r="AD422" s="385"/>
      <c r="AE422" s="385"/>
      <c r="AF422" s="385"/>
      <c r="AG422" s="385"/>
      <c r="AH422" s="385"/>
      <c r="AI422" s="385"/>
      <c r="AJ422" s="385"/>
      <c r="AK422" s="385"/>
      <c r="AL422" s="385"/>
      <c r="AM422" s="385"/>
      <c r="AN422" s="385"/>
      <c r="AO422" s="385"/>
      <c r="AP422" s="385"/>
      <c r="AQ422" s="385"/>
      <c r="AR422" s="385"/>
      <c r="AS422" s="385"/>
      <c r="AT422" s="385"/>
      <c r="AU422" s="385"/>
      <c r="AV422" s="385"/>
      <c r="AW422" s="385"/>
      <c r="AX422" s="385"/>
      <c r="AY422" s="385"/>
      <c r="AZ422" s="385"/>
      <c r="BA422" s="385"/>
      <c r="BB422" s="385"/>
      <c r="BC422" s="385"/>
      <c r="BD422" s="385"/>
      <c r="BE422" s="385"/>
      <c r="BF422" s="385"/>
      <c r="BG422" s="385"/>
      <c r="BH422" s="385"/>
      <c r="BI422" s="385"/>
      <c r="BJ422" s="385"/>
      <c r="BK422" s="385"/>
      <c r="BL422" s="385"/>
      <c r="BM422" s="385"/>
      <c r="BN422" s="385"/>
      <c r="BO422" s="385"/>
      <c r="BP422" s="385"/>
      <c r="BQ422" s="385"/>
      <c r="BR422" s="385"/>
      <c r="BS422" s="385"/>
      <c r="BT422" s="385"/>
      <c r="BU422" s="385"/>
      <c r="BV422" s="385"/>
      <c r="BW422" s="385"/>
      <c r="BX422" s="385"/>
      <c r="BY422" s="385"/>
      <c r="BZ422" s="385"/>
      <c r="CA422" s="385"/>
      <c r="CB422" s="385"/>
      <c r="CC422" s="385"/>
      <c r="CD422" s="385"/>
      <c r="CE422" s="385"/>
      <c r="CF422" s="385"/>
      <c r="CG422" s="385"/>
      <c r="CH422" s="385"/>
      <c r="CI422" s="385"/>
      <c r="CJ422" s="385"/>
      <c r="CK422" s="385"/>
      <c r="CL422" s="385"/>
      <c r="CM422" s="385"/>
      <c r="CN422" s="385"/>
      <c r="CO422" s="385"/>
      <c r="CP422" s="385"/>
      <c r="CQ422" s="385"/>
      <c r="CR422" s="385"/>
      <c r="CS422" s="385"/>
      <c r="CT422" s="385"/>
      <c r="CU422" s="385"/>
      <c r="CV422" s="385"/>
      <c r="CW422" s="385"/>
      <c r="CX422" s="385"/>
      <c r="CY422" s="385"/>
      <c r="CZ422" s="385"/>
      <c r="DA422" s="385"/>
      <c r="DB422" s="385"/>
      <c r="DC422" s="385"/>
      <c r="DD422" s="385"/>
      <c r="DE422" s="385"/>
      <c r="DF422" s="385"/>
      <c r="DG422" s="385"/>
      <c r="DH422" s="385"/>
      <c r="DI422" s="385"/>
      <c r="DJ422" s="385"/>
      <c r="DK422" s="385"/>
      <c r="DL422" s="385"/>
      <c r="DM422" s="385"/>
      <c r="DN422" s="385"/>
      <c r="DO422" s="385"/>
      <c r="DP422" s="385"/>
      <c r="DQ422" s="385"/>
      <c r="DR422" s="385"/>
      <c r="DS422" s="385"/>
      <c r="DT422" s="385"/>
      <c r="DU422" s="385"/>
      <c r="DV422" s="385"/>
      <c r="DW422" s="385"/>
      <c r="DX422" s="385"/>
      <c r="DY422" s="385"/>
      <c r="DZ422" s="385"/>
      <c r="EA422" s="385"/>
      <c r="EB422" s="385"/>
      <c r="EC422" s="385"/>
      <c r="ED422" s="385"/>
      <c r="EE422" s="385"/>
      <c r="EF422" s="385"/>
      <c r="EG422" s="385"/>
      <c r="EH422" s="385"/>
      <c r="EI422" s="385"/>
      <c r="EJ422" s="385"/>
      <c r="EK422" s="385"/>
      <c r="EL422" s="385"/>
      <c r="EM422" s="385"/>
      <c r="EN422" s="385"/>
      <c r="EO422" s="385"/>
      <c r="EP422" s="385"/>
      <c r="EQ422" s="385"/>
      <c r="ER422" s="385"/>
      <c r="ES422" s="385"/>
      <c r="ET422" s="385"/>
      <c r="EU422" s="385"/>
      <c r="EV422" s="385"/>
      <c r="EW422" s="385"/>
      <c r="EX422" s="385"/>
      <c r="EY422" s="385"/>
      <c r="EZ422" s="385"/>
      <c r="FA422" s="385"/>
      <c r="FB422" s="385"/>
      <c r="FC422" s="385"/>
      <c r="FD422" s="385"/>
      <c r="FE422" s="385"/>
      <c r="FF422" s="385"/>
      <c r="FG422" s="385"/>
      <c r="FH422" s="385"/>
      <c r="FI422" s="385"/>
      <c r="FJ422" s="385"/>
      <c r="FK422" s="385"/>
      <c r="FL422" s="385"/>
      <c r="FM422" s="385"/>
      <c r="FN422" s="385"/>
      <c r="FO422" s="385"/>
      <c r="FP422" s="385"/>
      <c r="FQ422" s="385"/>
      <c r="FR422" s="385"/>
      <c r="FS422" s="385"/>
      <c r="FT422" s="385"/>
      <c r="FU422" s="385"/>
      <c r="FV422" s="385"/>
    </row>
    <row r="423" spans="5:14" ht="19.5" customHeight="1">
      <c r="E423" s="181"/>
      <c r="F423" s="179"/>
      <c r="G423" s="179"/>
      <c r="H423" s="180"/>
      <c r="I423" s="179"/>
      <c r="J423" s="179"/>
      <c r="K423" s="179"/>
      <c r="L423" s="179"/>
      <c r="M423" s="179"/>
      <c r="N423" s="181"/>
    </row>
    <row r="424" ht="19.5" customHeight="1">
      <c r="E424" s="181"/>
    </row>
    <row r="425" spans="1:15" s="389" customFormat="1" ht="19.5" customHeight="1">
      <c r="A425" s="181"/>
      <c r="B425" s="181"/>
      <c r="C425" s="181"/>
      <c r="D425" s="181"/>
      <c r="E425" s="181"/>
      <c r="F425" s="181"/>
      <c r="G425" s="181"/>
      <c r="H425" s="180"/>
      <c r="I425" s="181"/>
      <c r="J425" s="181"/>
      <c r="K425" s="181"/>
      <c r="L425" s="181"/>
      <c r="M425" s="181"/>
      <c r="N425" s="181"/>
      <c r="O425" s="181"/>
    </row>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c r="E439" s="181"/>
    </row>
    <row r="440" ht="15">
      <c r="E440" s="181"/>
    </row>
  </sheetData>
  <printOptions horizontalCentered="1"/>
  <pageMargins left="0.31496062992125984" right="0.1968503937007874" top="0.8267716535433072" bottom="0.7086614173228347" header="0.5118110236220472" footer="0.35433070866141736"/>
  <pageSetup firstPageNumber="10" useFirstPageNumber="1" horizontalDpi="300" verticalDpi="300" orientation="landscape" paperSize="9" scale="60" r:id="rId2"/>
  <headerFooter alignWithMargins="0">
    <oddHeader>&amp;L&amp;16v Kč&amp;C&amp;"Arial CE,Tučné"&amp;16Investice - čerpání k 31. 12. 2006&amp;R&amp;"Arial CE,Tučné"&amp;14Příloha č. 4</oddHeader>
    <oddFooter>&amp;C&amp;12&amp;P</oddFooter>
  </headerFooter>
  <rowBreaks count="3" manualBreakCount="3">
    <brk id="284" max="255" man="1"/>
    <brk id="335" max="255" man="1"/>
    <brk id="415" max="255" man="1"/>
  </rowBreaks>
  <drawing r:id="rId1"/>
</worksheet>
</file>

<file path=xl/worksheets/sheet6.xml><?xml version="1.0" encoding="utf-8"?>
<worksheet xmlns="http://schemas.openxmlformats.org/spreadsheetml/2006/main" xmlns:r="http://schemas.openxmlformats.org/officeDocument/2006/relationships">
  <dimension ref="A1:M36"/>
  <sheetViews>
    <sheetView workbookViewId="0" topLeftCell="A13">
      <selection activeCell="E28" sqref="E28"/>
    </sheetView>
  </sheetViews>
  <sheetFormatPr defaultColWidth="9.00390625" defaultRowHeight="12.75"/>
  <cols>
    <col min="1" max="1" width="14.625" style="0" customWidth="1"/>
    <col min="2" max="2" width="29.125" style="0" customWidth="1"/>
    <col min="3" max="3" width="15.625" style="0" customWidth="1"/>
    <col min="4" max="5" width="16.125" style="0" customWidth="1"/>
    <col min="8" max="8" width="15.00390625" style="0" customWidth="1"/>
    <col min="13" max="13" width="14.00390625" style="0" customWidth="1"/>
  </cols>
  <sheetData>
    <row r="1" spans="1:13" ht="18.75" customHeight="1" thickBot="1">
      <c r="A1" s="799" t="s">
        <v>1140</v>
      </c>
      <c r="B1" s="799"/>
      <c r="C1" s="799"/>
      <c r="D1" s="799"/>
      <c r="E1" s="799"/>
      <c r="F1" s="390"/>
      <c r="G1" s="391"/>
      <c r="H1" s="391"/>
      <c r="M1" s="392"/>
    </row>
    <row r="2" spans="1:13" ht="19.5" customHeight="1" thickBot="1">
      <c r="A2" s="393"/>
      <c r="B2" s="394"/>
      <c r="C2" s="395" t="s">
        <v>1101</v>
      </c>
      <c r="D2" s="395" t="s">
        <v>1102</v>
      </c>
      <c r="E2" s="396" t="s">
        <v>1103</v>
      </c>
      <c r="F2" s="397"/>
      <c r="G2" s="391"/>
      <c r="H2" s="398"/>
      <c r="M2" s="398"/>
    </row>
    <row r="3" spans="1:13" ht="19.5" customHeight="1" thickTop="1">
      <c r="A3" s="399" t="s">
        <v>1104</v>
      </c>
      <c r="B3" s="400"/>
      <c r="C3" s="401">
        <v>230000000</v>
      </c>
      <c r="D3" s="401">
        <f>200680813.57+30000000+5675603</f>
        <v>236356416.57</v>
      </c>
      <c r="E3" s="402">
        <f>200680813.57+30000000+5675303</f>
        <v>236356116.57</v>
      </c>
      <c r="F3" s="403"/>
      <c r="G3" s="391"/>
      <c r="H3" s="404"/>
      <c r="M3" s="404"/>
    </row>
    <row r="4" spans="1:13" ht="19.5" customHeight="1">
      <c r="A4" s="405" t="s">
        <v>1105</v>
      </c>
      <c r="B4" s="406"/>
      <c r="C4" s="406">
        <v>0</v>
      </c>
      <c r="D4" s="406">
        <v>0</v>
      </c>
      <c r="E4" s="407">
        <v>-1702477.48</v>
      </c>
      <c r="F4" s="408"/>
      <c r="G4" s="391"/>
      <c r="H4" s="404"/>
      <c r="M4" s="409"/>
    </row>
    <row r="5" spans="1:13" ht="19.5" customHeight="1" thickBot="1">
      <c r="A5" s="410" t="s">
        <v>1106</v>
      </c>
      <c r="B5" s="411"/>
      <c r="C5" s="412">
        <v>0</v>
      </c>
      <c r="D5" s="413">
        <v>244980099.75</v>
      </c>
      <c r="E5" s="414">
        <v>19180899.27</v>
      </c>
      <c r="F5" s="403"/>
      <c r="G5" s="404"/>
      <c r="H5" s="409"/>
      <c r="M5" s="409"/>
    </row>
    <row r="6" spans="1:13" ht="30" customHeight="1" thickBot="1" thickTop="1">
      <c r="A6" s="415" t="s">
        <v>1107</v>
      </c>
      <c r="B6" s="416"/>
      <c r="C6" s="417">
        <f>C3+C4+C5</f>
        <v>230000000</v>
      </c>
      <c r="D6" s="418">
        <f>D3+D4+D5</f>
        <v>481336516.32</v>
      </c>
      <c r="E6" s="419">
        <f>E3+E4+E5</f>
        <v>253834538.36</v>
      </c>
      <c r="F6" s="420"/>
      <c r="G6" s="421"/>
      <c r="H6" s="420"/>
      <c r="I6" s="422"/>
      <c r="J6" s="422"/>
      <c r="K6" s="422"/>
      <c r="L6" s="422"/>
      <c r="M6" s="420"/>
    </row>
    <row r="7" spans="1:8" ht="19.5" customHeight="1" thickBot="1">
      <c r="A7" s="423"/>
      <c r="B7" s="423"/>
      <c r="C7" s="423"/>
      <c r="D7" s="423"/>
      <c r="E7" s="423"/>
      <c r="F7" s="408"/>
      <c r="G7" s="391"/>
      <c r="H7" s="391"/>
    </row>
    <row r="8" spans="1:8" ht="19.5" customHeight="1">
      <c r="A8" s="424" t="s">
        <v>1108</v>
      </c>
      <c r="B8" s="425"/>
      <c r="C8" s="426" t="s">
        <v>1109</v>
      </c>
      <c r="D8" s="427" t="s">
        <v>1110</v>
      </c>
      <c r="E8" s="428" t="s">
        <v>1111</v>
      </c>
      <c r="F8" s="429"/>
      <c r="G8" s="391"/>
      <c r="H8" s="391"/>
    </row>
    <row r="9" spans="1:8" ht="19.5" customHeight="1">
      <c r="A9" s="430" t="s">
        <v>1112</v>
      </c>
      <c r="B9" s="51"/>
      <c r="C9" s="431">
        <v>148804535.72</v>
      </c>
      <c r="D9" s="431">
        <f>214623312.04-105581058+158420.6</f>
        <v>109200674.63999999</v>
      </c>
      <c r="E9" s="432">
        <f>C9-D9</f>
        <v>39603861.08000001</v>
      </c>
      <c r="F9" s="7"/>
      <c r="G9" s="391"/>
      <c r="H9" s="391"/>
    </row>
    <row r="10" spans="1:8" ht="19.5" customHeight="1" thickBot="1">
      <c r="A10" s="433" t="s">
        <v>1113</v>
      </c>
      <c r="B10" s="434"/>
      <c r="C10" s="435">
        <v>87656441.12</v>
      </c>
      <c r="D10" s="435">
        <f>41193687.62+64387370.38+322778.21+1465027.11+710539.61</f>
        <v>108079402.92999999</v>
      </c>
      <c r="E10" s="436">
        <f>C10-D10</f>
        <v>-20422961.809999987</v>
      </c>
      <c r="F10" s="7"/>
      <c r="G10" s="391"/>
      <c r="H10" s="391"/>
    </row>
    <row r="11" spans="1:8" ht="19.5" customHeight="1" thickBot="1">
      <c r="A11" s="437" t="s">
        <v>1114</v>
      </c>
      <c r="B11" s="438"/>
      <c r="C11" s="439">
        <f>C9+C10</f>
        <v>236460976.84</v>
      </c>
      <c r="D11" s="439">
        <f>D9+D10</f>
        <v>217280077.57</v>
      </c>
      <c r="E11" s="440">
        <f>E9+E10</f>
        <v>19180899.270000026</v>
      </c>
      <c r="F11" s="429"/>
      <c r="G11" s="391"/>
      <c r="H11" s="404"/>
    </row>
    <row r="12" spans="1:8" ht="19.5" customHeight="1">
      <c r="A12" s="441"/>
      <c r="B12" s="441"/>
      <c r="C12" s="441"/>
      <c r="D12" s="441"/>
      <c r="E12" s="442"/>
      <c r="F12" s="443"/>
      <c r="G12" s="391"/>
      <c r="H12" s="391"/>
    </row>
    <row r="13" spans="1:8" ht="19.5" customHeight="1" thickBot="1">
      <c r="A13" s="799" t="s">
        <v>1141</v>
      </c>
      <c r="B13" s="799"/>
      <c r="C13" s="799"/>
      <c r="D13" s="799"/>
      <c r="E13" s="799"/>
      <c r="F13" s="443"/>
      <c r="G13" s="391"/>
      <c r="H13" s="391"/>
    </row>
    <row r="14" spans="1:8" ht="19.5" customHeight="1" thickBot="1">
      <c r="A14" s="393" t="s">
        <v>1115</v>
      </c>
      <c r="B14" s="394"/>
      <c r="C14" s="395" t="s">
        <v>1101</v>
      </c>
      <c r="D14" s="395" t="s">
        <v>1102</v>
      </c>
      <c r="E14" s="444" t="s">
        <v>1103</v>
      </c>
      <c r="F14" s="404"/>
      <c r="G14" s="391"/>
      <c r="H14" s="391"/>
    </row>
    <row r="15" spans="1:8" ht="19.5" customHeight="1" thickTop="1">
      <c r="A15" s="445" t="s">
        <v>1116</v>
      </c>
      <c r="B15" s="446"/>
      <c r="C15" s="401">
        <v>-13800000</v>
      </c>
      <c r="D15" s="401">
        <v>-13800000</v>
      </c>
      <c r="E15" s="402">
        <v>-13800000</v>
      </c>
      <c r="F15" s="404"/>
      <c r="G15" s="391"/>
      <c r="H15" s="391"/>
    </row>
    <row r="16" spans="1:8" ht="19.5" customHeight="1">
      <c r="A16" s="447" t="s">
        <v>1116</v>
      </c>
      <c r="B16" s="448"/>
      <c r="C16" s="401">
        <v>-30000000</v>
      </c>
      <c r="D16" s="401">
        <v>-30000000</v>
      </c>
      <c r="E16" s="402">
        <v>-30000000</v>
      </c>
      <c r="F16" s="404"/>
      <c r="G16" s="404"/>
      <c r="H16" s="404"/>
    </row>
    <row r="17" spans="1:8" ht="19.5" customHeight="1">
      <c r="A17" s="447" t="s">
        <v>1117</v>
      </c>
      <c r="B17" s="448"/>
      <c r="C17" s="401">
        <v>-22000000</v>
      </c>
      <c r="D17" s="401">
        <v>-22000000</v>
      </c>
      <c r="E17" s="402">
        <v>-22000000</v>
      </c>
      <c r="F17" s="404"/>
      <c r="G17" s="391"/>
      <c r="H17" s="391"/>
    </row>
    <row r="18" spans="1:8" ht="19.5" customHeight="1">
      <c r="A18" s="449" t="s">
        <v>1118</v>
      </c>
      <c r="B18" s="450"/>
      <c r="C18" s="401">
        <v>-16890000</v>
      </c>
      <c r="D18" s="401">
        <v>-16890000</v>
      </c>
      <c r="E18" s="402">
        <v>-16890000</v>
      </c>
      <c r="F18" s="404"/>
      <c r="G18" s="391"/>
      <c r="H18" s="391"/>
    </row>
    <row r="19" spans="1:8" ht="19.5" customHeight="1">
      <c r="A19" s="451" t="s">
        <v>1119</v>
      </c>
      <c r="B19" s="452"/>
      <c r="C19" s="401">
        <v>-873000</v>
      </c>
      <c r="D19" s="401">
        <v>-873000</v>
      </c>
      <c r="E19" s="402">
        <v>-872900</v>
      </c>
      <c r="F19" s="404"/>
      <c r="G19" s="391"/>
      <c r="H19" s="391"/>
    </row>
    <row r="20" spans="1:8" ht="19.5" customHeight="1">
      <c r="A20" s="451" t="s">
        <v>1120</v>
      </c>
      <c r="B20" s="452"/>
      <c r="C20" s="401">
        <v>-1388000</v>
      </c>
      <c r="D20" s="401">
        <v>-1388000</v>
      </c>
      <c r="E20" s="402">
        <v>-1388000</v>
      </c>
      <c r="F20" s="404"/>
      <c r="G20" s="391"/>
      <c r="H20" s="453"/>
    </row>
    <row r="21" spans="1:8" ht="19.5" customHeight="1">
      <c r="A21" s="451" t="s">
        <v>1121</v>
      </c>
      <c r="B21" s="452"/>
      <c r="C21" s="401">
        <v>-11765000</v>
      </c>
      <c r="D21" s="401">
        <v>-11765000</v>
      </c>
      <c r="E21" s="402">
        <v>-11765000</v>
      </c>
      <c r="F21" s="404"/>
      <c r="G21" s="391"/>
      <c r="H21" s="404"/>
    </row>
    <row r="22" spans="1:8" ht="19.5" customHeight="1" thickBot="1">
      <c r="A22" s="410" t="s">
        <v>1122</v>
      </c>
      <c r="B22" s="411"/>
      <c r="C22" s="412">
        <v>-4200000</v>
      </c>
      <c r="D22" s="412">
        <v>-4200000</v>
      </c>
      <c r="E22" s="414">
        <v>-4200000</v>
      </c>
      <c r="F22" s="404"/>
      <c r="G22" s="391"/>
      <c r="H22" s="391"/>
    </row>
    <row r="23" spans="1:8" ht="30" customHeight="1" thickBot="1" thickTop="1">
      <c r="A23" s="454" t="s">
        <v>1123</v>
      </c>
      <c r="B23" s="455"/>
      <c r="C23" s="417">
        <f>SUM(C15:C22)</f>
        <v>-100916000</v>
      </c>
      <c r="D23" s="418">
        <f>SUM(D15:D22)</f>
        <v>-100916000</v>
      </c>
      <c r="E23" s="419">
        <f>SUM(E15:E22)</f>
        <v>-100915900</v>
      </c>
      <c r="F23" s="456"/>
      <c r="G23" s="421"/>
      <c r="H23" s="421"/>
    </row>
    <row r="24" spans="1:8" ht="30" customHeight="1" thickBot="1">
      <c r="A24" s="457"/>
      <c r="B24" s="457"/>
      <c r="C24" s="457"/>
      <c r="D24" s="458"/>
      <c r="E24" s="459"/>
      <c r="F24" s="460"/>
      <c r="G24" s="67"/>
      <c r="H24" s="67"/>
    </row>
    <row r="25" spans="1:8" ht="30" customHeight="1" thickBot="1">
      <c r="A25" s="461" t="s">
        <v>1124</v>
      </c>
      <c r="B25" s="462" t="s">
        <v>1125</v>
      </c>
      <c r="C25" s="463">
        <f>SUM(C6+C23)</f>
        <v>129084000</v>
      </c>
      <c r="D25" s="464">
        <f>SUM(D6+D23)</f>
        <v>380420516.32</v>
      </c>
      <c r="E25" s="465">
        <f>SUM(E6+E23)</f>
        <v>152918638.36</v>
      </c>
      <c r="F25" s="466"/>
      <c r="G25" s="421"/>
      <c r="H25" s="421"/>
    </row>
    <row r="26" spans="1:8" ht="14.25" customHeight="1">
      <c r="A26" s="467"/>
      <c r="B26" s="467"/>
      <c r="C26" s="420"/>
      <c r="D26" s="420"/>
      <c r="E26" s="420"/>
      <c r="F26" s="466"/>
      <c r="G26" s="421"/>
      <c r="H26" s="421"/>
    </row>
    <row r="27" spans="1:8" ht="12.75">
      <c r="A27" s="800" t="s">
        <v>1142</v>
      </c>
      <c r="B27" s="800"/>
      <c r="C27" s="800"/>
      <c r="D27" s="800"/>
      <c r="E27" s="800"/>
      <c r="F27" s="404"/>
      <c r="G27" s="391"/>
      <c r="H27" s="391"/>
    </row>
    <row r="28" spans="1:8" ht="12.75">
      <c r="A28" s="468"/>
      <c r="B28" s="468"/>
      <c r="C28" s="468"/>
      <c r="D28" s="468"/>
      <c r="E28" s="468"/>
      <c r="F28" s="404"/>
      <c r="G28" s="391"/>
      <c r="H28" s="391"/>
    </row>
    <row r="29" spans="1:8" ht="12.75">
      <c r="A29" s="469" t="s">
        <v>1126</v>
      </c>
      <c r="B29" s="469" t="s">
        <v>1127</v>
      </c>
      <c r="C29" s="470"/>
      <c r="D29" s="470"/>
      <c r="E29" s="470"/>
      <c r="F29" s="404"/>
      <c r="G29" s="391"/>
      <c r="H29" s="471"/>
    </row>
    <row r="30" spans="1:8" ht="12.75">
      <c r="A30" s="469" t="s">
        <v>1128</v>
      </c>
      <c r="B30" s="469" t="s">
        <v>1129</v>
      </c>
      <c r="C30" s="391"/>
      <c r="D30" s="391"/>
      <c r="E30" s="472"/>
      <c r="F30" s="404"/>
      <c r="G30" s="391"/>
      <c r="H30" s="471"/>
    </row>
    <row r="31" spans="1:8" ht="12.75">
      <c r="A31" s="469" t="s">
        <v>1130</v>
      </c>
      <c r="B31" s="469" t="s">
        <v>1131</v>
      </c>
      <c r="C31" s="391"/>
      <c r="D31" s="391"/>
      <c r="E31" s="472"/>
      <c r="F31" s="404"/>
      <c r="G31" s="391"/>
      <c r="H31" s="471"/>
    </row>
    <row r="32" spans="1:8" ht="12.75">
      <c r="A32" s="469" t="s">
        <v>1132</v>
      </c>
      <c r="B32" s="469" t="s">
        <v>1133</v>
      </c>
      <c r="C32" s="391"/>
      <c r="D32" s="391"/>
      <c r="E32" s="391"/>
      <c r="F32" s="404"/>
      <c r="G32" s="391"/>
      <c r="H32" s="471"/>
    </row>
    <row r="33" spans="1:8" ht="12.75">
      <c r="A33" s="469" t="s">
        <v>1134</v>
      </c>
      <c r="B33" s="469" t="s">
        <v>1135</v>
      </c>
      <c r="C33" s="391"/>
      <c r="D33" s="391"/>
      <c r="E33" s="391"/>
      <c r="F33" s="404"/>
      <c r="G33" s="391"/>
      <c r="H33" s="471"/>
    </row>
    <row r="34" spans="1:8" ht="12.75">
      <c r="A34" s="469" t="s">
        <v>1136</v>
      </c>
      <c r="B34" s="469" t="s">
        <v>1137</v>
      </c>
      <c r="C34" s="391"/>
      <c r="D34" s="391"/>
      <c r="E34" s="391"/>
      <c r="F34" s="404"/>
      <c r="G34" s="391"/>
      <c r="H34" s="471"/>
    </row>
    <row r="35" spans="1:8" ht="13.5">
      <c r="A35" s="469" t="s">
        <v>1138</v>
      </c>
      <c r="B35" s="469" t="s">
        <v>1139</v>
      </c>
      <c r="C35" s="473"/>
      <c r="D35" s="473"/>
      <c r="E35" s="473"/>
      <c r="F35" s="474"/>
      <c r="G35" s="391"/>
      <c r="H35" s="471"/>
    </row>
    <row r="36" spans="1:8" ht="13.5">
      <c r="A36" s="469"/>
      <c r="B36" s="469"/>
      <c r="C36" s="473"/>
      <c r="D36" s="473"/>
      <c r="E36" s="473"/>
      <c r="F36" s="474"/>
      <c r="G36" s="391"/>
      <c r="H36" s="475"/>
    </row>
  </sheetData>
  <mergeCells count="3">
    <mergeCell ref="A1:E1"/>
    <mergeCell ref="A13:E13"/>
    <mergeCell ref="A27:E27"/>
  </mergeCells>
  <printOptions/>
  <pageMargins left="0.5905511811023623" right="0.1968503937007874" top="1.3779527559055118" bottom="0.984251968503937" header="0.5118110236220472" footer="0.5118110236220472"/>
  <pageSetup horizontalDpi="600" verticalDpi="600" orientation="portrait" paperSize="9" r:id="rId1"/>
  <headerFooter alignWithMargins="0">
    <oddHeader>&amp;C&amp;"Arial CE,Tučné"&amp;11Tř. 8 - FINANCOVÁNÍ v roce 2006
( v Kč )&amp;R&amp;"Arial CE,Tučné"&amp;11Příloha č. 5</oddHeader>
    <oddFooter>&amp;C23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zoomScale="120" zoomScaleNormal="120" workbookViewId="0" topLeftCell="A1">
      <pane ySplit="1" topLeftCell="BM32" activePane="bottomLeft" state="frozen"/>
      <selection pane="topLeft" activeCell="A1" sqref="A1"/>
      <selection pane="bottomLeft" activeCell="I16" sqref="I16"/>
    </sheetView>
  </sheetViews>
  <sheetFormatPr defaultColWidth="9.00390625" defaultRowHeight="12.75" outlineLevelRow="1" outlineLevelCol="1"/>
  <cols>
    <col min="1" max="1" width="24.00390625" style="423" customWidth="1"/>
    <col min="2" max="2" width="12.75390625" style="423" customWidth="1"/>
    <col min="3" max="4" width="12.75390625" style="485" hidden="1" customWidth="1" outlineLevel="1"/>
    <col min="5" max="5" width="12.75390625" style="485" customWidth="1" collapsed="1"/>
    <col min="6" max="6" width="12.75390625" style="485" customWidth="1" outlineLevel="1"/>
    <col min="7" max="7" width="5.375" style="485" customWidth="1" outlineLevel="1"/>
    <col min="8" max="8" width="4.375" style="485" hidden="1" customWidth="1"/>
    <col min="9" max="9" width="32.375" style="423" customWidth="1"/>
    <col min="10" max="10" width="15.875" style="423" bestFit="1" customWidth="1"/>
    <col min="11" max="11" width="7.75390625" style="486" customWidth="1" collapsed="1"/>
    <col min="12" max="12" width="9.125" style="423" customWidth="1" collapsed="1"/>
    <col min="13" max="13" width="10.00390625" style="423" bestFit="1" customWidth="1"/>
    <col min="14" max="15" width="9.125" style="423" customWidth="1"/>
    <col min="16" max="16" width="9.125" style="423" customWidth="1" collapsed="1"/>
    <col min="17" max="17" width="9.125" style="423" customWidth="1"/>
    <col min="18" max="24" width="9.125" style="423" customWidth="1" collapsed="1"/>
    <col min="25" max="16384" width="9.125" style="423" customWidth="1"/>
  </cols>
  <sheetData>
    <row r="1" spans="1:11" s="479" customFormat="1" ht="39" customHeight="1" thickBot="1">
      <c r="A1" s="476" t="s">
        <v>460</v>
      </c>
      <c r="B1" s="476" t="s">
        <v>1143</v>
      </c>
      <c r="C1" s="476" t="s">
        <v>1144</v>
      </c>
      <c r="D1" s="476" t="s">
        <v>435</v>
      </c>
      <c r="E1" s="476" t="s">
        <v>1145</v>
      </c>
      <c r="F1" s="477" t="s">
        <v>1146</v>
      </c>
      <c r="G1" s="477" t="s">
        <v>436</v>
      </c>
      <c r="H1" s="477"/>
      <c r="I1" s="478" t="s">
        <v>437</v>
      </c>
      <c r="K1" s="480"/>
    </row>
    <row r="2" spans="1:10" ht="12.75" customHeight="1">
      <c r="A2" s="481" t="s">
        <v>1147</v>
      </c>
      <c r="B2" s="482">
        <v>8921000</v>
      </c>
      <c r="C2" s="482">
        <v>7445948.5</v>
      </c>
      <c r="D2" s="483">
        <v>0</v>
      </c>
      <c r="E2" s="483">
        <f aca="true" t="shared" si="0" ref="E2:E21">SUM(C2:D2)</f>
        <v>7445948.5</v>
      </c>
      <c r="F2" s="483">
        <v>6744967.33</v>
      </c>
      <c r="G2" s="483">
        <f aca="true" t="shared" si="1" ref="G2:G23">F2/E2*100</f>
        <v>90.58573706224264</v>
      </c>
      <c r="H2" s="483"/>
      <c r="I2" s="484"/>
      <c r="J2" s="485"/>
    </row>
    <row r="3" spans="1:10" ht="12.75" customHeight="1">
      <c r="A3" s="481" t="s">
        <v>1148</v>
      </c>
      <c r="B3" s="487">
        <v>13354000</v>
      </c>
      <c r="C3" s="487">
        <v>11786000</v>
      </c>
      <c r="D3" s="483">
        <f>136000</f>
        <v>136000</v>
      </c>
      <c r="E3" s="483">
        <f t="shared" si="0"/>
        <v>11922000</v>
      </c>
      <c r="F3" s="483">
        <f>76619222.99-65681685.34+78984.9-34349.39</f>
        <v>10982173.15999999</v>
      </c>
      <c r="G3" s="483">
        <f t="shared" si="1"/>
        <v>92.11686931722858</v>
      </c>
      <c r="H3" s="483"/>
      <c r="I3" s="484"/>
      <c r="J3" s="485"/>
    </row>
    <row r="4" spans="1:10" ht="12.75" customHeight="1">
      <c r="A4" s="481" t="s">
        <v>1149</v>
      </c>
      <c r="B4" s="487">
        <v>4800000</v>
      </c>
      <c r="C4" s="487">
        <v>6204216</v>
      </c>
      <c r="D4" s="483"/>
      <c r="E4" s="483">
        <f t="shared" si="0"/>
        <v>6204216</v>
      </c>
      <c r="F4" s="483">
        <v>5641564.17</v>
      </c>
      <c r="G4" s="483">
        <f t="shared" si="1"/>
        <v>90.93113731049984</v>
      </c>
      <c r="H4" s="483"/>
      <c r="I4" s="484"/>
      <c r="J4" s="485"/>
    </row>
    <row r="5" spans="1:10" ht="12.75" customHeight="1">
      <c r="A5" s="481" t="s">
        <v>1150</v>
      </c>
      <c r="B5" s="487">
        <v>118000</v>
      </c>
      <c r="C5" s="487">
        <v>123000</v>
      </c>
      <c r="D5" s="483">
        <v>0</v>
      </c>
      <c r="E5" s="483">
        <f t="shared" si="0"/>
        <v>123000</v>
      </c>
      <c r="F5" s="483">
        <v>117274.25</v>
      </c>
      <c r="G5" s="483">
        <f t="shared" si="1"/>
        <v>95.34491869918699</v>
      </c>
      <c r="H5" s="483"/>
      <c r="I5" s="484"/>
      <c r="J5" s="485"/>
    </row>
    <row r="6" spans="1:10" ht="12.75" customHeight="1">
      <c r="A6" s="481" t="s">
        <v>1151</v>
      </c>
      <c r="B6" s="487">
        <f>55216000-2280258</f>
        <v>52935742</v>
      </c>
      <c r="C6" s="487">
        <v>122207302.03</v>
      </c>
      <c r="D6" s="483">
        <f>-1216988+2991165.77</f>
        <v>1774177.77</v>
      </c>
      <c r="E6" s="483">
        <f t="shared" si="0"/>
        <v>123981479.8</v>
      </c>
      <c r="F6" s="483">
        <f>45090315.96-10400000+75990464.4-25419928</f>
        <v>85260852.36000001</v>
      </c>
      <c r="G6" s="483">
        <f t="shared" si="1"/>
        <v>68.76902300048205</v>
      </c>
      <c r="H6" s="483"/>
      <c r="I6" s="484"/>
      <c r="J6" s="485"/>
    </row>
    <row r="7" spans="1:10" ht="12.75" customHeight="1">
      <c r="A7" s="481" t="s">
        <v>1152</v>
      </c>
      <c r="B7" s="482">
        <v>59000</v>
      </c>
      <c r="C7" s="482">
        <v>131000</v>
      </c>
      <c r="D7" s="483"/>
      <c r="E7" s="483">
        <f t="shared" si="0"/>
        <v>131000</v>
      </c>
      <c r="F7" s="483">
        <v>128005.8</v>
      </c>
      <c r="G7" s="483">
        <f t="shared" si="1"/>
        <v>97.71435114503817</v>
      </c>
      <c r="H7" s="483"/>
      <c r="I7" s="484"/>
      <c r="J7" s="485"/>
    </row>
    <row r="8" spans="1:10" ht="12.75" customHeight="1">
      <c r="A8" s="481" t="s">
        <v>466</v>
      </c>
      <c r="B8" s="487">
        <f>44815000+'[6]Sumář OVS'!F14</f>
        <v>308543000</v>
      </c>
      <c r="C8" s="487">
        <v>324135533.48</v>
      </c>
      <c r="D8" s="483">
        <f>34330+190000</f>
        <v>224330</v>
      </c>
      <c r="E8" s="483">
        <f t="shared" si="0"/>
        <v>324359863.48</v>
      </c>
      <c r="F8" s="483">
        <v>320049393.8</v>
      </c>
      <c r="G8" s="483">
        <f t="shared" si="1"/>
        <v>98.67108413668888</v>
      </c>
      <c r="H8" s="483"/>
      <c r="I8" s="484"/>
      <c r="J8" s="485"/>
    </row>
    <row r="9" spans="1:10" ht="12.75" customHeight="1">
      <c r="A9" s="481" t="s">
        <v>1153</v>
      </c>
      <c r="B9" s="487">
        <v>1290000</v>
      </c>
      <c r="C9" s="487">
        <v>1324000</v>
      </c>
      <c r="D9" s="483">
        <v>-80000</v>
      </c>
      <c r="E9" s="483">
        <f t="shared" si="0"/>
        <v>1244000</v>
      </c>
      <c r="F9" s="483">
        <v>1220913.65</v>
      </c>
      <c r="G9" s="483">
        <f t="shared" si="1"/>
        <v>98.14418408360129</v>
      </c>
      <c r="H9" s="483"/>
      <c r="I9" s="484"/>
      <c r="J9" s="485"/>
    </row>
    <row r="10" spans="1:10" ht="12.75" customHeight="1">
      <c r="A10" s="481" t="s">
        <v>1154</v>
      </c>
      <c r="B10" s="487">
        <v>688000</v>
      </c>
      <c r="C10" s="487">
        <v>691684</v>
      </c>
      <c r="D10" s="483"/>
      <c r="E10" s="483">
        <f t="shared" si="0"/>
        <v>691684</v>
      </c>
      <c r="F10" s="483">
        <v>585735.55</v>
      </c>
      <c r="G10" s="483">
        <f t="shared" si="1"/>
        <v>84.68253566657607</v>
      </c>
      <c r="H10" s="483"/>
      <c r="I10" s="484"/>
      <c r="J10" s="485"/>
    </row>
    <row r="11" spans="1:10" ht="12.75" customHeight="1">
      <c r="A11" s="481" t="s">
        <v>1155</v>
      </c>
      <c r="B11" s="487">
        <f>'[4]11-odb.vn.vztahů a inf.'!C341</f>
        <v>28321000</v>
      </c>
      <c r="C11" s="487">
        <v>51102951.31</v>
      </c>
      <c r="D11" s="487">
        <v>-61463</v>
      </c>
      <c r="E11" s="483">
        <f t="shared" si="0"/>
        <v>51041488.31</v>
      </c>
      <c r="F11" s="487">
        <v>48686301.07</v>
      </c>
      <c r="G11" s="483">
        <f t="shared" si="1"/>
        <v>95.38573948765797</v>
      </c>
      <c r="H11" s="483"/>
      <c r="I11" s="484"/>
      <c r="J11" s="485"/>
    </row>
    <row r="12" spans="1:10" ht="12.75" customHeight="1">
      <c r="A12" s="481" t="s">
        <v>1156</v>
      </c>
      <c r="B12" s="487">
        <v>20820000</v>
      </c>
      <c r="C12" s="487">
        <v>19118934</v>
      </c>
      <c r="D12" s="483">
        <v>-60000</v>
      </c>
      <c r="E12" s="483">
        <f t="shared" si="0"/>
        <v>19058934</v>
      </c>
      <c r="F12" s="483">
        <v>19149693.29</v>
      </c>
      <c r="G12" s="483">
        <f t="shared" si="1"/>
        <v>100.47620339101861</v>
      </c>
      <c r="H12" s="483"/>
      <c r="I12" s="484"/>
      <c r="J12" s="485"/>
    </row>
    <row r="13" spans="1:10" ht="12.75" customHeight="1">
      <c r="A13" s="484" t="s">
        <v>1157</v>
      </c>
      <c r="B13" s="487">
        <v>167895569</v>
      </c>
      <c r="C13" s="487">
        <v>155339431.18</v>
      </c>
      <c r="D13" s="487">
        <v>-115035</v>
      </c>
      <c r="E13" s="483">
        <f t="shared" si="0"/>
        <v>155224396.18</v>
      </c>
      <c r="F13" s="487">
        <v>155094069.97</v>
      </c>
      <c r="G13" s="483">
        <f t="shared" si="1"/>
        <v>99.91604012435721</v>
      </c>
      <c r="H13" s="483"/>
      <c r="I13" s="484"/>
      <c r="J13" s="485"/>
    </row>
    <row r="14" spans="1:10" ht="12.75" customHeight="1">
      <c r="A14" s="484" t="s">
        <v>1158</v>
      </c>
      <c r="B14" s="487">
        <v>182827000</v>
      </c>
      <c r="C14" s="487">
        <v>179827000</v>
      </c>
      <c r="D14" s="487">
        <v>0</v>
      </c>
      <c r="E14" s="483">
        <f t="shared" si="0"/>
        <v>179827000</v>
      </c>
      <c r="F14" s="487">
        <v>157246210.74</v>
      </c>
      <c r="G14" s="483">
        <f t="shared" si="1"/>
        <v>87.44304845212343</v>
      </c>
      <c r="H14" s="482"/>
      <c r="I14" s="484"/>
      <c r="J14" s="485"/>
    </row>
    <row r="15" spans="1:10" ht="12.75" customHeight="1">
      <c r="A15" s="484" t="s">
        <v>495</v>
      </c>
      <c r="B15" s="487">
        <f>'[4]19-odb.správy'!C167</f>
        <v>277512000</v>
      </c>
      <c r="C15" s="487">
        <v>342579510.1</v>
      </c>
      <c r="D15" s="487">
        <f>544256+525000</f>
        <v>1069256</v>
      </c>
      <c r="E15" s="483">
        <f t="shared" si="0"/>
        <v>343648766.1</v>
      </c>
      <c r="F15" s="487">
        <f>353172683.87-5907350</f>
        <v>347265333.87</v>
      </c>
      <c r="G15" s="483">
        <f t="shared" si="1"/>
        <v>101.0524023732265</v>
      </c>
      <c r="H15" s="482"/>
      <c r="I15" s="484"/>
      <c r="J15" s="485"/>
    </row>
    <row r="16" spans="1:10" ht="12.75" customHeight="1">
      <c r="A16" s="484" t="s">
        <v>1159</v>
      </c>
      <c r="B16" s="487">
        <v>44360000</v>
      </c>
      <c r="C16" s="487">
        <v>45063448</v>
      </c>
      <c r="D16" s="487">
        <v>5868</v>
      </c>
      <c r="E16" s="483">
        <f t="shared" si="0"/>
        <v>45069316</v>
      </c>
      <c r="F16" s="487">
        <f>44811004.35-251430.8</f>
        <v>44559573.550000004</v>
      </c>
      <c r="G16" s="483">
        <f t="shared" si="1"/>
        <v>98.86898117113648</v>
      </c>
      <c r="H16" s="482"/>
      <c r="I16" s="484"/>
      <c r="J16" s="485"/>
    </row>
    <row r="17" spans="1:10" ht="12.75" customHeight="1">
      <c r="A17" s="484" t="s">
        <v>1160</v>
      </c>
      <c r="B17" s="487">
        <v>18443000</v>
      </c>
      <c r="C17" s="487">
        <v>14747251.35</v>
      </c>
      <c r="D17" s="487">
        <f>-80000+350000</f>
        <v>270000</v>
      </c>
      <c r="E17" s="483">
        <f t="shared" si="0"/>
        <v>15017251.35</v>
      </c>
      <c r="F17" s="487">
        <v>14417882.39</v>
      </c>
      <c r="G17" s="483">
        <f t="shared" si="1"/>
        <v>96.00879717578944</v>
      </c>
      <c r="H17" s="482"/>
      <c r="I17" s="484"/>
      <c r="J17" s="485"/>
    </row>
    <row r="18" spans="1:10" ht="12.75" customHeight="1">
      <c r="A18" s="484" t="s">
        <v>500</v>
      </c>
      <c r="B18" s="487">
        <f>'[4]40-odb.život.prostř.'!C133</f>
        <v>169173000</v>
      </c>
      <c r="C18" s="487">
        <v>183873367.6</v>
      </c>
      <c r="D18" s="487">
        <v>-2428691.5</v>
      </c>
      <c r="E18" s="483">
        <f t="shared" si="0"/>
        <v>181444676.1</v>
      </c>
      <c r="F18" s="487">
        <v>181029323.36</v>
      </c>
      <c r="G18" s="483">
        <f t="shared" si="1"/>
        <v>99.77108573867935</v>
      </c>
      <c r="H18" s="482"/>
      <c r="I18" s="484"/>
      <c r="J18" s="485"/>
    </row>
    <row r="19" spans="1:10" ht="12.75" customHeight="1">
      <c r="A19" s="484" t="s">
        <v>1161</v>
      </c>
      <c r="B19" s="487">
        <f>'[4]41-majetkoprávní'!C63</f>
        <v>12896000</v>
      </c>
      <c r="C19" s="487">
        <v>12550138.75</v>
      </c>
      <c r="D19" s="487"/>
      <c r="E19" s="483">
        <f t="shared" si="0"/>
        <v>12550138.75</v>
      </c>
      <c r="F19" s="487">
        <v>10179800.87</v>
      </c>
      <c r="G19" s="483">
        <f t="shared" si="1"/>
        <v>81.1130543875461</v>
      </c>
      <c r="H19" s="482"/>
      <c r="I19" s="484"/>
      <c r="J19" s="485"/>
    </row>
    <row r="20" spans="1:10" ht="12.75" customHeight="1">
      <c r="A20" s="484" t="s">
        <v>515</v>
      </c>
      <c r="B20" s="487">
        <f>'[4]42-ochrany '!C130</f>
        <v>3656000</v>
      </c>
      <c r="C20" s="487">
        <v>7853895.59</v>
      </c>
      <c r="D20" s="487"/>
      <c r="E20" s="483">
        <f t="shared" si="0"/>
        <v>7853895.59</v>
      </c>
      <c r="F20" s="487">
        <v>7499405.6</v>
      </c>
      <c r="G20" s="483">
        <f t="shared" si="1"/>
        <v>95.48644381711216</v>
      </c>
      <c r="H20" s="482"/>
      <c r="I20" s="484"/>
      <c r="J20" s="485"/>
    </row>
    <row r="21" spans="1:10" ht="12.75" customHeight="1" thickBot="1">
      <c r="A21" s="484" t="s">
        <v>518</v>
      </c>
      <c r="B21" s="487">
        <f>'[4]43-prodej domů'!C27</f>
        <v>22862000</v>
      </c>
      <c r="C21" s="487">
        <v>25792000</v>
      </c>
      <c r="D21" s="487"/>
      <c r="E21" s="483">
        <f t="shared" si="0"/>
        <v>25792000</v>
      </c>
      <c r="F21" s="487">
        <v>25470825.7</v>
      </c>
      <c r="G21" s="487">
        <f t="shared" si="1"/>
        <v>98.7547522487593</v>
      </c>
      <c r="H21" s="488"/>
      <c r="I21" s="484"/>
      <c r="J21" s="485"/>
    </row>
    <row r="22" spans="1:13" ht="19.5" customHeight="1" thickBot="1">
      <c r="A22" s="489" t="s">
        <v>1162</v>
      </c>
      <c r="B22" s="490">
        <f>SUM(B2:B21)</f>
        <v>1339474311</v>
      </c>
      <c r="C22" s="490">
        <f>SUM(C2:C21)</f>
        <v>1511896611.8899996</v>
      </c>
      <c r="D22" s="490">
        <f>SUM(D2:D21)</f>
        <v>734442.27</v>
      </c>
      <c r="E22" s="490">
        <f>SUM(E2:E21)</f>
        <v>1512631054.1599996</v>
      </c>
      <c r="F22" s="490">
        <f>SUM(F2:F21)</f>
        <v>1441329300.4799998</v>
      </c>
      <c r="G22" s="490">
        <f t="shared" si="1"/>
        <v>95.2862429021335</v>
      </c>
      <c r="H22" s="490"/>
      <c r="I22" s="491"/>
      <c r="L22" s="492"/>
      <c r="M22" s="485"/>
    </row>
    <row r="23" spans="1:9" ht="12.75" customHeight="1">
      <c r="A23" s="493" t="s">
        <v>1163</v>
      </c>
      <c r="B23" s="482">
        <v>30885000</v>
      </c>
      <c r="C23" s="482">
        <v>116660564.03</v>
      </c>
      <c r="D23" s="482"/>
      <c r="E23" s="482">
        <f>SUM(C23:D23)</f>
        <v>116660564.03</v>
      </c>
      <c r="F23" s="482">
        <v>25637735.37</v>
      </c>
      <c r="G23" s="482">
        <f t="shared" si="1"/>
        <v>21.9763512916045</v>
      </c>
      <c r="H23" s="482"/>
      <c r="I23" s="804" t="s">
        <v>1164</v>
      </c>
    </row>
    <row r="24" spans="1:9" ht="12.75" customHeight="1">
      <c r="A24" s="484"/>
      <c r="B24" s="482"/>
      <c r="C24" s="482"/>
      <c r="D24" s="482"/>
      <c r="E24" s="482"/>
      <c r="F24" s="482"/>
      <c r="G24" s="482"/>
      <c r="H24" s="482"/>
      <c r="I24" s="802"/>
    </row>
    <row r="25" spans="1:9" ht="12.75" customHeight="1">
      <c r="A25" s="484" t="s">
        <v>1165</v>
      </c>
      <c r="B25" s="482">
        <f>147596000+573000</f>
        <v>148169000</v>
      </c>
      <c r="C25" s="482">
        <v>177205733.91</v>
      </c>
      <c r="D25" s="482">
        <f>152122+9450</f>
        <v>161572</v>
      </c>
      <c r="E25" s="482">
        <f>SUM(C25:D25)</f>
        <v>177367305.91</v>
      </c>
      <c r="F25" s="482">
        <v>177367305.91</v>
      </c>
      <c r="G25" s="482">
        <f>F25/E25*100</f>
        <v>100</v>
      </c>
      <c r="H25" s="482"/>
      <c r="I25" s="484"/>
    </row>
    <row r="26" spans="1:10" ht="12.75" customHeight="1">
      <c r="A26" s="484" t="s">
        <v>1166</v>
      </c>
      <c r="B26" s="482">
        <v>-70000000</v>
      </c>
      <c r="C26" s="482">
        <v>-70000000</v>
      </c>
      <c r="D26" s="482"/>
      <c r="E26" s="482">
        <f>SUM(C26:D26)</f>
        <v>-70000000</v>
      </c>
      <c r="F26" s="482">
        <f>-75990464.4</f>
        <v>-75990464.4</v>
      </c>
      <c r="G26" s="482">
        <f>F26/E26*100</f>
        <v>108.55780628571429</v>
      </c>
      <c r="H26" s="482"/>
      <c r="I26" s="495"/>
      <c r="J26" s="496" t="s">
        <v>1167</v>
      </c>
    </row>
    <row r="27" spans="1:10" ht="12.75" customHeight="1">
      <c r="A27" s="484" t="s">
        <v>1168</v>
      </c>
      <c r="B27" s="482">
        <v>0</v>
      </c>
      <c r="C27" s="482"/>
      <c r="D27" s="482"/>
      <c r="E27" s="482">
        <v>0</v>
      </c>
      <c r="F27" s="482">
        <v>25657929.81</v>
      </c>
      <c r="G27" s="482">
        <v>0</v>
      </c>
      <c r="H27" s="482"/>
      <c r="I27" s="495" t="s">
        <v>1169</v>
      </c>
      <c r="J27" s="496"/>
    </row>
    <row r="28" spans="1:10" ht="19.5" customHeight="1">
      <c r="A28" s="497" t="s">
        <v>1170</v>
      </c>
      <c r="B28" s="498">
        <f>SUM(B22:B26)</f>
        <v>1448528311</v>
      </c>
      <c r="C28" s="498">
        <f>SUM(C22:C26)</f>
        <v>1735762909.8299997</v>
      </c>
      <c r="D28" s="498">
        <f>SUM(D22:D26)</f>
        <v>896014.27</v>
      </c>
      <c r="E28" s="498">
        <f>SUM(E22:E26)</f>
        <v>1736658924.0999997</v>
      </c>
      <c r="F28" s="498">
        <f>SUM(F22:F27)</f>
        <v>1594001807.1699996</v>
      </c>
      <c r="G28" s="498">
        <f>F28/E28*100</f>
        <v>91.78554205720447</v>
      </c>
      <c r="H28" s="498"/>
      <c r="I28" s="499"/>
      <c r="J28" s="500">
        <f>F28+F30+F32</f>
        <v>1670903662.6399996</v>
      </c>
    </row>
    <row r="29" spans="1:9" ht="12.75" customHeight="1">
      <c r="A29" s="484" t="s">
        <v>1171</v>
      </c>
      <c r="B29" s="482">
        <v>1070133000</v>
      </c>
      <c r="C29" s="482">
        <v>1291983527.35</v>
      </c>
      <c r="D29" s="482">
        <f>33824136.99-42877+7475335.03</f>
        <v>41256595.02</v>
      </c>
      <c r="E29" s="482">
        <f>SUM(C29:D29)</f>
        <v>1333240122.37</v>
      </c>
      <c r="F29" s="482">
        <v>1118206539.68</v>
      </c>
      <c r="G29" s="482">
        <f>F29/E29*100</f>
        <v>83.87135377326096</v>
      </c>
      <c r="H29" s="482"/>
      <c r="I29" s="484" t="s">
        <v>1172</v>
      </c>
    </row>
    <row r="30" spans="1:9" ht="12.75" customHeight="1">
      <c r="A30" s="484" t="s">
        <v>1173</v>
      </c>
      <c r="B30" s="482">
        <v>0</v>
      </c>
      <c r="C30" s="482">
        <v>0</v>
      </c>
      <c r="D30" s="482"/>
      <c r="E30" s="482">
        <f>SUM(C30:D30)</f>
        <v>0</v>
      </c>
      <c r="F30" s="482">
        <f>65681685.34-78984.9+251430.8+11013374.84</f>
        <v>76867506.08</v>
      </c>
      <c r="G30" s="482">
        <v>0</v>
      </c>
      <c r="H30" s="482"/>
      <c r="I30" s="802" t="s">
        <v>1174</v>
      </c>
    </row>
    <row r="31" spans="1:9" ht="12.75" customHeight="1">
      <c r="A31" s="484"/>
      <c r="B31" s="482"/>
      <c r="C31" s="482"/>
      <c r="D31" s="482"/>
      <c r="E31" s="482"/>
      <c r="F31" s="482"/>
      <c r="G31" s="482"/>
      <c r="H31" s="482"/>
      <c r="I31" s="802"/>
    </row>
    <row r="32" spans="1:9" ht="12.75" customHeight="1" outlineLevel="1">
      <c r="A32" s="484" t="s">
        <v>1175</v>
      </c>
      <c r="B32" s="482">
        <v>0</v>
      </c>
      <c r="C32" s="482">
        <v>0</v>
      </c>
      <c r="D32" s="482">
        <v>0</v>
      </c>
      <c r="E32" s="482">
        <v>34349.39</v>
      </c>
      <c r="F32" s="482">
        <v>34349.39</v>
      </c>
      <c r="G32" s="482">
        <f>F32/E32*100</f>
        <v>100</v>
      </c>
      <c r="H32" s="482"/>
      <c r="I32" s="484"/>
    </row>
    <row r="33" spans="1:9" ht="19.5" customHeight="1">
      <c r="A33" s="497" t="s">
        <v>1176</v>
      </c>
      <c r="B33" s="498">
        <f>SUM(B29:B32)</f>
        <v>1070133000</v>
      </c>
      <c r="C33" s="498">
        <f>SUM(C29:C32)</f>
        <v>1291983527.35</v>
      </c>
      <c r="D33" s="498">
        <f>SUM(D29:D32)</f>
        <v>41256595.02</v>
      </c>
      <c r="E33" s="498">
        <f>SUM(E29:E32)</f>
        <v>1333274471.76</v>
      </c>
      <c r="F33" s="498">
        <f>SUM(F29:F32)</f>
        <v>1195108395.15</v>
      </c>
      <c r="G33" s="498">
        <f>F33/E33*100</f>
        <v>89.63708677121728</v>
      </c>
      <c r="H33" s="498"/>
      <c r="I33" s="499"/>
    </row>
    <row r="34" spans="1:9" ht="6.75" customHeight="1" thickBot="1">
      <c r="A34" s="501"/>
      <c r="B34" s="502"/>
      <c r="C34" s="502"/>
      <c r="D34" s="502"/>
      <c r="E34" s="502"/>
      <c r="F34" s="502"/>
      <c r="G34" s="502"/>
      <c r="H34" s="502"/>
      <c r="I34" s="484"/>
    </row>
    <row r="35" spans="1:9" ht="19.5" customHeight="1" thickBot="1">
      <c r="A35" s="503" t="s">
        <v>1177</v>
      </c>
      <c r="B35" s="504">
        <f>SUM(B28,B33)</f>
        <v>2518661311</v>
      </c>
      <c r="C35" s="504">
        <f>SUM(C28,C33)</f>
        <v>3027746437.1799994</v>
      </c>
      <c r="D35" s="504">
        <f>SUM(D28,D33)</f>
        <v>42152609.29000001</v>
      </c>
      <c r="E35" s="504">
        <f>SUM(E28,E33)</f>
        <v>3069933395.8599997</v>
      </c>
      <c r="F35" s="504">
        <f>SUM(F28,F33)</f>
        <v>2789110202.3199997</v>
      </c>
      <c r="G35" s="504">
        <f>F35/E35*100</f>
        <v>90.85246624833269</v>
      </c>
      <c r="H35" s="504"/>
      <c r="I35" s="505"/>
    </row>
    <row r="36" spans="1:9" ht="9.75" customHeight="1">
      <c r="A36" s="484"/>
      <c r="B36" s="482"/>
      <c r="C36" s="482"/>
      <c r="D36" s="482"/>
      <c r="E36" s="482"/>
      <c r="F36" s="482"/>
      <c r="G36" s="482"/>
      <c r="H36" s="482"/>
      <c r="I36" s="484"/>
    </row>
    <row r="37" spans="1:9" ht="12.75" customHeight="1">
      <c r="A37" s="506" t="s">
        <v>0</v>
      </c>
      <c r="B37" s="482"/>
      <c r="C37" s="482"/>
      <c r="D37" s="482"/>
      <c r="E37" s="482"/>
      <c r="F37" s="482"/>
      <c r="G37" s="482"/>
      <c r="H37" s="482"/>
      <c r="I37" s="484"/>
    </row>
    <row r="38" spans="1:9" ht="12.75" customHeight="1" outlineLevel="1">
      <c r="A38" s="484" t="s">
        <v>1</v>
      </c>
      <c r="B38" s="482">
        <v>0</v>
      </c>
      <c r="C38" s="482">
        <v>2263814</v>
      </c>
      <c r="D38" s="482">
        <f>699107+2712682</f>
        <v>3411789</v>
      </c>
      <c r="E38" s="482">
        <f>C38+D38</f>
        <v>5675603</v>
      </c>
      <c r="F38" s="482">
        <v>5675303</v>
      </c>
      <c r="G38" s="482">
        <f>F38/E38*100</f>
        <v>99.9947142180311</v>
      </c>
      <c r="H38" s="482"/>
      <c r="I38" s="803" t="s">
        <v>17</v>
      </c>
    </row>
    <row r="39" spans="1:9" ht="12.75" customHeight="1" outlineLevel="1">
      <c r="A39" s="484"/>
      <c r="B39" s="482"/>
      <c r="C39" s="482"/>
      <c r="D39" s="482"/>
      <c r="E39" s="482"/>
      <c r="F39" s="482"/>
      <c r="G39" s="482"/>
      <c r="H39" s="482"/>
      <c r="I39" s="803"/>
    </row>
    <row r="40" spans="1:9" ht="12.75" customHeight="1">
      <c r="A40" s="484" t="s">
        <v>1</v>
      </c>
      <c r="B40" s="482">
        <v>200000000</v>
      </c>
      <c r="C40" s="482">
        <v>200680813.57</v>
      </c>
      <c r="D40" s="482"/>
      <c r="E40" s="482">
        <f>C40+D40</f>
        <v>200680813.57</v>
      </c>
      <c r="F40" s="482">
        <v>200680813.57</v>
      </c>
      <c r="G40" s="482">
        <f>F40/E40*100</f>
        <v>100</v>
      </c>
      <c r="H40" s="482"/>
      <c r="I40" s="484" t="s">
        <v>18</v>
      </c>
    </row>
    <row r="41" spans="1:9" ht="12.75" customHeight="1">
      <c r="A41" s="484" t="s">
        <v>2</v>
      </c>
      <c r="B41" s="482">
        <v>30000000</v>
      </c>
      <c r="C41" s="482">
        <v>30000000</v>
      </c>
      <c r="D41" s="482"/>
      <c r="E41" s="482">
        <f>C41+D41</f>
        <v>30000000</v>
      </c>
      <c r="F41" s="482">
        <v>30000000</v>
      </c>
      <c r="G41" s="482">
        <f>F41/E41*100</f>
        <v>100</v>
      </c>
      <c r="H41" s="482"/>
      <c r="I41" s="484" t="s">
        <v>3</v>
      </c>
    </row>
    <row r="42" spans="1:9" ht="12.75" customHeight="1">
      <c r="A42" s="484" t="s">
        <v>4</v>
      </c>
      <c r="B42" s="482">
        <v>-30000000</v>
      </c>
      <c r="C42" s="482">
        <v>-30000000</v>
      </c>
      <c r="D42" s="482"/>
      <c r="E42" s="482">
        <f>C42+D42</f>
        <v>-30000000</v>
      </c>
      <c r="F42" s="482">
        <v>-30000000</v>
      </c>
      <c r="G42" s="482">
        <f>F42/E42*100</f>
        <v>100</v>
      </c>
      <c r="H42" s="482"/>
      <c r="I42" s="484" t="s">
        <v>5</v>
      </c>
    </row>
    <row r="43" spans="1:10" ht="12.75" customHeight="1">
      <c r="A43" s="484" t="s">
        <v>6</v>
      </c>
      <c r="B43" s="482">
        <v>-70916000</v>
      </c>
      <c r="C43" s="482">
        <v>-70916000</v>
      </c>
      <c r="D43" s="482"/>
      <c r="E43" s="482">
        <f>C43+D43</f>
        <v>-70916000</v>
      </c>
      <c r="F43" s="482">
        <v>-70915900</v>
      </c>
      <c r="G43" s="482">
        <f>F43/E43*100</f>
        <v>99.9998589880986</v>
      </c>
      <c r="H43" s="482"/>
      <c r="I43" s="802" t="s">
        <v>7</v>
      </c>
      <c r="J43" s="801"/>
    </row>
    <row r="44" spans="1:10" ht="12.75" customHeight="1">
      <c r="A44" s="484"/>
      <c r="B44" s="482"/>
      <c r="C44" s="482"/>
      <c r="D44" s="482"/>
      <c r="E44" s="482"/>
      <c r="F44" s="482"/>
      <c r="G44" s="482"/>
      <c r="H44" s="482"/>
      <c r="I44" s="802"/>
      <c r="J44" s="801"/>
    </row>
    <row r="45" spans="1:9" ht="12.75" customHeight="1">
      <c r="A45" s="484"/>
      <c r="B45" s="482"/>
      <c r="C45" s="482"/>
      <c r="D45" s="482"/>
      <c r="E45" s="482"/>
      <c r="F45" s="482"/>
      <c r="G45" s="482"/>
      <c r="H45" s="482"/>
      <c r="I45" s="802"/>
    </row>
    <row r="46" spans="1:9" ht="12.75" customHeight="1">
      <c r="A46" s="484"/>
      <c r="B46" s="482"/>
      <c r="C46" s="482"/>
      <c r="D46" s="482"/>
      <c r="E46" s="482"/>
      <c r="F46" s="482"/>
      <c r="G46" s="482"/>
      <c r="H46" s="482"/>
      <c r="I46" s="802"/>
    </row>
    <row r="47" spans="1:9" ht="12.75" customHeight="1">
      <c r="A47" s="484"/>
      <c r="B47" s="482"/>
      <c r="C47" s="482"/>
      <c r="D47" s="482"/>
      <c r="E47" s="482"/>
      <c r="F47" s="482"/>
      <c r="G47" s="482"/>
      <c r="H47" s="482"/>
      <c r="I47" s="802"/>
    </row>
    <row r="48" spans="1:9" ht="12.75" customHeight="1">
      <c r="A48" s="484" t="s">
        <v>8</v>
      </c>
      <c r="B48" s="482">
        <f>7300000-7300000</f>
        <v>0</v>
      </c>
      <c r="C48" s="482">
        <v>234580099.75</v>
      </c>
      <c r="D48" s="482">
        <v>10400000</v>
      </c>
      <c r="E48" s="482">
        <f>167538983.72+81575564.03-4134448</f>
        <v>244980099.75</v>
      </c>
      <c r="F48" s="482">
        <f>43610733.33-19897172.51-4532661.55</f>
        <v>19180899.269999996</v>
      </c>
      <c r="G48" s="482"/>
      <c r="H48" s="482"/>
      <c r="I48" s="802" t="s">
        <v>9</v>
      </c>
    </row>
    <row r="49" spans="1:9" ht="12.75" customHeight="1">
      <c r="A49" s="484"/>
      <c r="B49" s="482"/>
      <c r="C49" s="482"/>
      <c r="D49" s="482"/>
      <c r="E49" s="482"/>
      <c r="F49" s="482"/>
      <c r="G49" s="482"/>
      <c r="H49" s="482"/>
      <c r="I49" s="802"/>
    </row>
    <row r="50" spans="1:9" ht="12.75" customHeight="1" thickBot="1">
      <c r="A50" s="484" t="s">
        <v>10</v>
      </c>
      <c r="B50" s="482">
        <v>0</v>
      </c>
      <c r="C50" s="482">
        <v>0</v>
      </c>
      <c r="D50" s="482"/>
      <c r="E50" s="482">
        <f>C50+D50</f>
        <v>0</v>
      </c>
      <c r="F50" s="482">
        <v>-1702477.48</v>
      </c>
      <c r="G50" s="482"/>
      <c r="H50" s="482"/>
      <c r="I50" s="495"/>
    </row>
    <row r="51" spans="1:9" ht="12.75" customHeight="1" hidden="1" outlineLevel="1" thickBot="1">
      <c r="A51" s="484" t="s">
        <v>11</v>
      </c>
      <c r="B51" s="482">
        <v>0</v>
      </c>
      <c r="C51" s="482">
        <v>0</v>
      </c>
      <c r="D51" s="482"/>
      <c r="E51" s="482">
        <v>0</v>
      </c>
      <c r="F51" s="482">
        <v>0</v>
      </c>
      <c r="G51" s="482"/>
      <c r="H51" s="482"/>
      <c r="I51" s="495"/>
    </row>
    <row r="52" spans="1:9" ht="19.5" customHeight="1" collapsed="1" thickBot="1">
      <c r="A52" s="507" t="s">
        <v>12</v>
      </c>
      <c r="B52" s="508">
        <f>SUM(B38:B51)</f>
        <v>129084000</v>
      </c>
      <c r="C52" s="508">
        <f>SUM(C38:C51)</f>
        <v>366608727.32</v>
      </c>
      <c r="D52" s="508">
        <f>SUM(D38:D51)</f>
        <v>13811789</v>
      </c>
      <c r="E52" s="508">
        <f>SUM(E38:E51)</f>
        <v>380420516.32</v>
      </c>
      <c r="F52" s="508">
        <f>SUM(F38:F50)</f>
        <v>152918638.35999998</v>
      </c>
      <c r="G52" s="508"/>
      <c r="H52" s="508"/>
      <c r="I52" s="508"/>
    </row>
    <row r="53" spans="1:9" ht="16.5" customHeight="1" thickBot="1">
      <c r="A53" s="509"/>
      <c r="B53" s="510"/>
      <c r="C53" s="510"/>
      <c r="D53" s="510"/>
      <c r="E53" s="510"/>
      <c r="F53" s="510"/>
      <c r="G53" s="511"/>
      <c r="H53" s="511"/>
      <c r="I53" s="510"/>
    </row>
    <row r="54" spans="1:9" ht="19.5" customHeight="1" thickBot="1">
      <c r="A54" s="512" t="s">
        <v>13</v>
      </c>
      <c r="B54" s="513">
        <f>2395696000-6118689</f>
        <v>2389577311</v>
      </c>
      <c r="C54" s="513">
        <v>2661137709.86</v>
      </c>
      <c r="D54" s="513">
        <f>19512551.49+8862618.19</f>
        <v>28375169.68</v>
      </c>
      <c r="E54" s="513">
        <f>SUM(C54:D54)</f>
        <v>2689512879.54</v>
      </c>
      <c r="F54" s="513">
        <v>2636191563.96</v>
      </c>
      <c r="G54" s="513">
        <f>F54/E54*100</f>
        <v>98.01743594590558</v>
      </c>
      <c r="H54" s="513"/>
      <c r="I54" s="513"/>
    </row>
    <row r="55" spans="1:9" ht="18.75" customHeight="1" thickBot="1">
      <c r="A55" s="514" t="s">
        <v>1086</v>
      </c>
      <c r="B55" s="515"/>
      <c r="C55" s="515"/>
      <c r="D55" s="515"/>
      <c r="E55" s="515"/>
      <c r="F55" s="515"/>
      <c r="G55" s="515"/>
      <c r="H55" s="515"/>
      <c r="I55" s="515"/>
    </row>
    <row r="56" spans="1:9" ht="19.5" customHeight="1" thickBot="1">
      <c r="A56" s="512" t="s">
        <v>14</v>
      </c>
      <c r="B56" s="513">
        <f aca="true" t="shared" si="2" ref="B56:G56">B54</f>
        <v>2389577311</v>
      </c>
      <c r="C56" s="513">
        <f t="shared" si="2"/>
        <v>2661137709.86</v>
      </c>
      <c r="D56" s="513">
        <f t="shared" si="2"/>
        <v>28375169.68</v>
      </c>
      <c r="E56" s="513">
        <f t="shared" si="2"/>
        <v>2689512879.54</v>
      </c>
      <c r="F56" s="513">
        <f t="shared" si="2"/>
        <v>2636191563.96</v>
      </c>
      <c r="G56" s="513">
        <f t="shared" si="2"/>
        <v>98.01743594590558</v>
      </c>
      <c r="H56" s="513"/>
      <c r="I56" s="513"/>
    </row>
    <row r="57" spans="1:9" ht="19.5" customHeight="1" thickBot="1">
      <c r="A57" s="503" t="s">
        <v>15</v>
      </c>
      <c r="B57" s="504">
        <f aca="true" t="shared" si="3" ref="B57:G57">B35</f>
        <v>2518661311</v>
      </c>
      <c r="C57" s="504">
        <f t="shared" si="3"/>
        <v>3027746437.1799994</v>
      </c>
      <c r="D57" s="504">
        <f t="shared" si="3"/>
        <v>42152609.29000001</v>
      </c>
      <c r="E57" s="504">
        <f t="shared" si="3"/>
        <v>3069933395.8599997</v>
      </c>
      <c r="F57" s="504">
        <f t="shared" si="3"/>
        <v>2789110202.3199997</v>
      </c>
      <c r="G57" s="504">
        <f t="shared" si="3"/>
        <v>90.85246624833269</v>
      </c>
      <c r="H57" s="504"/>
      <c r="I57" s="504"/>
    </row>
    <row r="58" spans="1:9" ht="19.5" customHeight="1" thickBot="1">
      <c r="A58" s="507" t="s">
        <v>16</v>
      </c>
      <c r="B58" s="508">
        <f>B57-B56</f>
        <v>129084000</v>
      </c>
      <c r="C58" s="508">
        <f>C57-C56</f>
        <v>366608727.3199992</v>
      </c>
      <c r="D58" s="508">
        <f>D57-D56</f>
        <v>13777439.610000007</v>
      </c>
      <c r="E58" s="508">
        <f>E57-E56</f>
        <v>380420516.3199997</v>
      </c>
      <c r="F58" s="508">
        <f>F57-F56</f>
        <v>152918638.35999966</v>
      </c>
      <c r="G58" s="508"/>
      <c r="H58" s="508"/>
      <c r="I58" s="508"/>
    </row>
    <row r="60" spans="2:9" ht="12.75">
      <c r="B60" s="485">
        <f>B52-B58</f>
        <v>0</v>
      </c>
      <c r="C60" s="485">
        <f>C52-C58</f>
        <v>7.748603820800781E-07</v>
      </c>
      <c r="D60" s="485">
        <f>D52-D58</f>
        <v>34349.389999993145</v>
      </c>
      <c r="E60" s="485">
        <f>E52-E58</f>
        <v>0</v>
      </c>
      <c r="F60" s="485">
        <f>F52-F58</f>
        <v>3.2782554626464844E-07</v>
      </c>
      <c r="I60" s="423" t="s">
        <v>529</v>
      </c>
    </row>
  </sheetData>
  <mergeCells count="6">
    <mergeCell ref="J43:J44"/>
    <mergeCell ref="I48:I49"/>
    <mergeCell ref="I38:I39"/>
    <mergeCell ref="I23:I24"/>
    <mergeCell ref="I43:I47"/>
    <mergeCell ref="I30:I31"/>
  </mergeCells>
  <printOptions gridLines="1" horizontalCentered="1"/>
  <pageMargins left="0.1968503937007874" right="0.25" top="0.7874015748031497" bottom="0.7874015748031497" header="0.3937007874015748" footer="0.3937007874015748"/>
  <pageSetup fitToHeight="1" fitToWidth="1" horizontalDpi="300" verticalDpi="300" orientation="portrait" paperSize="9" scale="91" r:id="rId1"/>
  <headerFooter alignWithMargins="0">
    <oddHeader>&amp;Lv Kč&amp;C&amp;"Arial CE,Tučné"&amp;12Rekapitulace příjmů, výdajů a financování roku 2006&amp;R&amp;"Arial CE,Tučné"&amp;11Příloha č. 6</oddHeader>
    <oddFooter>&amp;C24</oddFooter>
  </headerFooter>
</worksheet>
</file>

<file path=xl/worksheets/sheet8.xml><?xml version="1.0" encoding="utf-8"?>
<worksheet xmlns="http://schemas.openxmlformats.org/spreadsheetml/2006/main" xmlns:r="http://schemas.openxmlformats.org/officeDocument/2006/relationships">
  <dimension ref="A1:K69"/>
  <sheetViews>
    <sheetView workbookViewId="0" topLeftCell="B1">
      <pane ySplit="1" topLeftCell="BM2" activePane="bottomLeft" state="frozen"/>
      <selection pane="topLeft" activeCell="A18" sqref="A18"/>
      <selection pane="bottomLeft" activeCell="F16" sqref="F16"/>
    </sheetView>
  </sheetViews>
  <sheetFormatPr defaultColWidth="9.00390625" defaultRowHeight="12.75" outlineLevelRow="1" outlineLevelCol="1"/>
  <cols>
    <col min="1" max="1" width="18.875" style="538" customWidth="1"/>
    <col min="2" max="2" width="24.625" style="538" customWidth="1"/>
    <col min="3" max="3" width="13.25390625" style="556" customWidth="1"/>
    <col min="4" max="5" width="13.00390625" style="556" hidden="1" customWidth="1" outlineLevel="1"/>
    <col min="6" max="6" width="12.625" style="556" customWidth="1" collapsed="1"/>
    <col min="7" max="7" width="13.375" style="556" customWidth="1" outlineLevel="1"/>
    <col min="8" max="8" width="10.125" style="556" customWidth="1" outlineLevel="1"/>
    <col min="9" max="9" width="45.75390625" style="538" customWidth="1"/>
    <col min="10" max="13" width="9.125" style="532" customWidth="1"/>
    <col min="14" max="27" width="9.125" style="532" customWidth="1" outlineLevel="1"/>
    <col min="28" max="16384" width="9.125" style="532" customWidth="1"/>
  </cols>
  <sheetData>
    <row r="1" spans="1:11" s="520" customFormat="1" ht="48" customHeight="1">
      <c r="A1" s="516" t="s">
        <v>461</v>
      </c>
      <c r="B1" s="517" t="s">
        <v>19</v>
      </c>
      <c r="C1" s="518" t="s">
        <v>20</v>
      </c>
      <c r="D1" s="518" t="s">
        <v>21</v>
      </c>
      <c r="E1" s="518" t="s">
        <v>696</v>
      </c>
      <c r="F1" s="518" t="s">
        <v>22</v>
      </c>
      <c r="G1" s="518" t="s">
        <v>23</v>
      </c>
      <c r="H1" s="518" t="s">
        <v>24</v>
      </c>
      <c r="I1" s="518" t="s">
        <v>437</v>
      </c>
      <c r="J1" s="518"/>
      <c r="K1" s="519" t="s">
        <v>437</v>
      </c>
    </row>
    <row r="2" spans="1:9" s="526" customFormat="1" ht="16.5" customHeight="1">
      <c r="A2" s="521"/>
      <c r="B2" s="522" t="s">
        <v>35</v>
      </c>
      <c r="C2" s="524">
        <v>0</v>
      </c>
      <c r="D2" s="524">
        <v>63372367.4</v>
      </c>
      <c r="E2" s="524"/>
      <c r="F2" s="524">
        <v>17786688.27</v>
      </c>
      <c r="G2" s="524">
        <v>17786688.27</v>
      </c>
      <c r="H2" s="524">
        <f>G2/F2*100</f>
        <v>100</v>
      </c>
      <c r="I2" s="525" t="s">
        <v>25</v>
      </c>
    </row>
    <row r="3" spans="1:9" s="526" customFormat="1" ht="12.75" customHeight="1">
      <c r="A3" s="521"/>
      <c r="B3" s="522"/>
      <c r="C3" s="524"/>
      <c r="D3" s="524"/>
      <c r="E3" s="524"/>
      <c r="F3" s="524"/>
      <c r="G3" s="524"/>
      <c r="H3" s="524"/>
      <c r="I3" s="520"/>
    </row>
    <row r="4" spans="1:9" s="526" customFormat="1" ht="12" customHeight="1">
      <c r="A4" s="521"/>
      <c r="B4" s="522" t="s">
        <v>36</v>
      </c>
      <c r="C4" s="524">
        <v>-4200000</v>
      </c>
      <c r="D4" s="524"/>
      <c r="E4" s="524"/>
      <c r="F4" s="524">
        <v>-4200000</v>
      </c>
      <c r="G4" s="524">
        <v>-4200000</v>
      </c>
      <c r="H4" s="524">
        <f>G4/F4*100</f>
        <v>100</v>
      </c>
      <c r="I4" s="520" t="s">
        <v>26</v>
      </c>
    </row>
    <row r="5" spans="1:9" s="526" customFormat="1" ht="12.75" customHeight="1">
      <c r="A5" s="521"/>
      <c r="B5" s="527"/>
      <c r="C5" s="524"/>
      <c r="D5" s="524"/>
      <c r="E5" s="524"/>
      <c r="F5" s="524"/>
      <c r="G5" s="524"/>
      <c r="H5" s="524"/>
      <c r="I5" s="528"/>
    </row>
    <row r="6" spans="1:9" ht="12.75" customHeight="1">
      <c r="A6" s="529"/>
      <c r="B6" s="530" t="s">
        <v>27</v>
      </c>
      <c r="C6" s="524"/>
      <c r="D6" s="524"/>
      <c r="E6" s="524"/>
      <c r="F6" s="524"/>
      <c r="G6" s="524"/>
      <c r="H6" s="524"/>
      <c r="I6" s="531"/>
    </row>
    <row r="7" spans="1:9" ht="12.75" customHeight="1">
      <c r="A7" s="529"/>
      <c r="B7" s="533" t="s">
        <v>37</v>
      </c>
      <c r="C7" s="524">
        <v>0</v>
      </c>
      <c r="D7" s="524"/>
      <c r="E7" s="524"/>
      <c r="F7" s="524">
        <v>0</v>
      </c>
      <c r="G7" s="524">
        <v>4370276.64</v>
      </c>
      <c r="H7" s="524">
        <v>0</v>
      </c>
      <c r="I7" s="531"/>
    </row>
    <row r="8" spans="1:9" ht="12.75" customHeight="1">
      <c r="A8" s="529"/>
      <c r="B8" s="533" t="s">
        <v>38</v>
      </c>
      <c r="C8" s="524">
        <v>0</v>
      </c>
      <c r="D8" s="524"/>
      <c r="E8" s="524"/>
      <c r="F8" s="524">
        <v>0</v>
      </c>
      <c r="G8" s="524">
        <v>7562</v>
      </c>
      <c r="H8" s="524">
        <v>0</v>
      </c>
      <c r="I8" s="531"/>
    </row>
    <row r="9" spans="1:9" ht="12.75" customHeight="1">
      <c r="A9" s="529"/>
      <c r="B9" s="533" t="s">
        <v>39</v>
      </c>
      <c r="C9" s="524">
        <v>28928000</v>
      </c>
      <c r="D9" s="524"/>
      <c r="E9" s="524"/>
      <c r="F9" s="524">
        <v>28928000</v>
      </c>
      <c r="G9" s="524">
        <v>34609689.71</v>
      </c>
      <c r="H9" s="524">
        <f>G9/F9*100</f>
        <v>119.64079684043143</v>
      </c>
      <c r="I9" s="531"/>
    </row>
    <row r="10" spans="1:9" ht="12.75" customHeight="1">
      <c r="A10" s="529"/>
      <c r="B10" s="533" t="s">
        <v>40</v>
      </c>
      <c r="C10" s="524">
        <v>0</v>
      </c>
      <c r="D10" s="524"/>
      <c r="E10" s="524"/>
      <c r="F10" s="524">
        <v>0</v>
      </c>
      <c r="G10" s="524">
        <v>8556154</v>
      </c>
      <c r="H10" s="524">
        <v>0</v>
      </c>
      <c r="I10" s="531" t="s">
        <v>28</v>
      </c>
    </row>
    <row r="11" spans="1:9" ht="12.75" customHeight="1" thickBot="1">
      <c r="A11" s="529"/>
      <c r="B11" s="529"/>
      <c r="C11" s="524"/>
      <c r="D11" s="524"/>
      <c r="E11" s="524"/>
      <c r="F11" s="524"/>
      <c r="G11" s="524"/>
      <c r="H11" s="524"/>
      <c r="I11" s="531"/>
    </row>
    <row r="12" spans="1:9" s="537" customFormat="1" ht="12.75" customHeight="1" thickBot="1">
      <c r="A12" s="534" t="s">
        <v>29</v>
      </c>
      <c r="B12" s="534"/>
      <c r="C12" s="535">
        <f>+C9+C4</f>
        <v>24728000</v>
      </c>
      <c r="D12" s="535">
        <f>D2+D9+D4</f>
        <v>63372367.4</v>
      </c>
      <c r="E12" s="535">
        <f>E2+E9+E4</f>
        <v>0</v>
      </c>
      <c r="F12" s="535">
        <f>F2+F9+F4</f>
        <v>42514688.269999996</v>
      </c>
      <c r="G12" s="535">
        <f>SUM(G2:G10)</f>
        <v>61130370.620000005</v>
      </c>
      <c r="H12" s="535"/>
      <c r="I12" s="536"/>
    </row>
    <row r="13" spans="1:9" ht="12.75" customHeight="1">
      <c r="A13" s="530"/>
      <c r="C13" s="539"/>
      <c r="D13" s="540"/>
      <c r="E13" s="540"/>
      <c r="F13" s="540"/>
      <c r="G13" s="540"/>
      <c r="H13" s="540"/>
      <c r="I13" s="531"/>
    </row>
    <row r="14" spans="1:9" ht="12.75" customHeight="1">
      <c r="A14" s="530"/>
      <c r="C14" s="539"/>
      <c r="D14" s="540"/>
      <c r="E14" s="540"/>
      <c r="F14" s="540"/>
      <c r="G14" s="540"/>
      <c r="H14" s="540"/>
      <c r="I14" s="531"/>
    </row>
    <row r="15" spans="1:9" ht="12.75" customHeight="1">
      <c r="A15" s="529"/>
      <c r="B15" s="530" t="s">
        <v>30</v>
      </c>
      <c r="C15" s="539"/>
      <c r="D15" s="540"/>
      <c r="E15" s="540"/>
      <c r="F15" s="540"/>
      <c r="G15" s="540"/>
      <c r="H15" s="540"/>
      <c r="I15" s="530" t="s">
        <v>41</v>
      </c>
    </row>
    <row r="16" spans="1:9" ht="12.75" customHeight="1">
      <c r="A16" s="529"/>
      <c r="B16" s="530"/>
      <c r="C16" s="539"/>
      <c r="D16" s="540"/>
      <c r="E16" s="540"/>
      <c r="F16" s="540"/>
      <c r="G16" s="540"/>
      <c r="H16" s="540"/>
      <c r="I16" s="530"/>
    </row>
    <row r="17" spans="1:9" ht="12.75" customHeight="1">
      <c r="A17" s="533" t="s">
        <v>42</v>
      </c>
      <c r="B17" s="530"/>
      <c r="C17" s="539"/>
      <c r="D17" s="540"/>
      <c r="E17" s="540"/>
      <c r="F17" s="540"/>
      <c r="G17" s="540"/>
      <c r="H17" s="540"/>
      <c r="I17" s="530"/>
    </row>
    <row r="18" spans="1:9" ht="12.75" customHeight="1">
      <c r="A18" s="541"/>
      <c r="B18" s="533" t="s">
        <v>43</v>
      </c>
      <c r="C18" s="524">
        <v>1000</v>
      </c>
      <c r="D18" s="524">
        <v>1000</v>
      </c>
      <c r="E18" s="524"/>
      <c r="F18" s="524">
        <v>1000</v>
      </c>
      <c r="G18" s="524">
        <v>534</v>
      </c>
      <c r="H18" s="524">
        <f>G18/F18*100</f>
        <v>53.400000000000006</v>
      </c>
      <c r="I18" s="542"/>
    </row>
    <row r="19" spans="1:9" ht="12.75" customHeight="1" hidden="1" outlineLevel="1">
      <c r="A19" s="541"/>
      <c r="B19" s="533" t="s">
        <v>44</v>
      </c>
      <c r="C19" s="524"/>
      <c r="D19" s="524">
        <v>40000</v>
      </c>
      <c r="E19" s="524"/>
      <c r="F19" s="524">
        <v>0</v>
      </c>
      <c r="G19" s="524">
        <v>0</v>
      </c>
      <c r="H19" s="524">
        <v>0</v>
      </c>
      <c r="I19" s="542"/>
    </row>
    <row r="20" spans="1:9" ht="12.75" customHeight="1" collapsed="1">
      <c r="A20" s="541"/>
      <c r="B20" s="533"/>
      <c r="C20" s="524"/>
      <c r="D20" s="524"/>
      <c r="E20" s="524"/>
      <c r="F20" s="524"/>
      <c r="G20" s="524"/>
      <c r="H20" s="524"/>
      <c r="I20" s="542"/>
    </row>
    <row r="21" spans="1:9" ht="12.75" customHeight="1">
      <c r="A21" s="543" t="s">
        <v>45</v>
      </c>
      <c r="B21" s="533"/>
      <c r="C21" s="524"/>
      <c r="D21" s="524"/>
      <c r="E21" s="524"/>
      <c r="F21" s="524"/>
      <c r="G21" s="524"/>
      <c r="H21" s="524"/>
      <c r="I21" s="542"/>
    </row>
    <row r="22" spans="1:9" ht="12.75" customHeight="1">
      <c r="A22" s="544" t="s">
        <v>31</v>
      </c>
      <c r="B22" s="533"/>
      <c r="C22" s="524"/>
      <c r="D22" s="524"/>
      <c r="E22" s="524"/>
      <c r="F22" s="524"/>
      <c r="G22" s="524"/>
      <c r="H22" s="524"/>
      <c r="I22" s="542"/>
    </row>
    <row r="23" spans="1:9" ht="12.75" customHeight="1">
      <c r="A23" s="529"/>
      <c r="B23" s="533" t="s">
        <v>46</v>
      </c>
      <c r="C23" s="524">
        <v>1252000</v>
      </c>
      <c r="D23" s="524">
        <v>500000</v>
      </c>
      <c r="E23" s="524"/>
      <c r="F23" s="524">
        <v>1252000</v>
      </c>
      <c r="G23" s="524">
        <v>435149</v>
      </c>
      <c r="H23" s="524">
        <f>G23/F23*100</f>
        <v>34.756309904153355</v>
      </c>
      <c r="I23" s="545"/>
    </row>
    <row r="24" spans="1:9" ht="12.75" customHeight="1">
      <c r="A24" s="529"/>
      <c r="B24" s="533" t="s">
        <v>47</v>
      </c>
      <c r="C24" s="524">
        <v>23475000</v>
      </c>
      <c r="D24" s="524">
        <v>72679367.4</v>
      </c>
      <c r="E24" s="524"/>
      <c r="F24" s="524">
        <f>23475000+17786688.27</f>
        <v>41261688.269999996</v>
      </c>
      <c r="G24" s="524">
        <v>10685000</v>
      </c>
      <c r="H24" s="524">
        <f>G24/F24*100</f>
        <v>25.89569270671047</v>
      </c>
      <c r="I24" s="546"/>
    </row>
    <row r="25" spans="1:9" ht="12.75" customHeight="1" hidden="1" outlineLevel="1">
      <c r="A25" s="529"/>
      <c r="B25" s="533" t="s">
        <v>48</v>
      </c>
      <c r="C25" s="524">
        <v>0</v>
      </c>
      <c r="D25" s="524"/>
      <c r="E25" s="524"/>
      <c r="F25" s="524">
        <v>0</v>
      </c>
      <c r="G25" s="524">
        <v>0</v>
      </c>
      <c r="H25" s="524">
        <v>0</v>
      </c>
      <c r="I25" s="546"/>
    </row>
    <row r="26" spans="1:9" ht="12.75" customHeight="1" collapsed="1">
      <c r="A26" s="529"/>
      <c r="B26" s="533" t="s">
        <v>49</v>
      </c>
      <c r="C26" s="524">
        <v>0</v>
      </c>
      <c r="D26" s="524"/>
      <c r="E26" s="524"/>
      <c r="F26" s="524">
        <v>0</v>
      </c>
      <c r="G26" s="524">
        <v>8816000</v>
      </c>
      <c r="H26" s="524">
        <v>0</v>
      </c>
      <c r="I26" s="546"/>
    </row>
    <row r="27" spans="1:9" ht="12.75" customHeight="1">
      <c r="A27" s="529"/>
      <c r="B27" s="547" t="s">
        <v>32</v>
      </c>
      <c r="C27" s="524"/>
      <c r="D27" s="524"/>
      <c r="E27" s="524"/>
      <c r="F27" s="524"/>
      <c r="G27" s="524"/>
      <c r="H27" s="524"/>
      <c r="I27" s="546"/>
    </row>
    <row r="28" spans="1:9" ht="12.75" customHeight="1" thickBot="1">
      <c r="A28" s="529"/>
      <c r="B28" s="547"/>
      <c r="C28" s="524"/>
      <c r="D28" s="524"/>
      <c r="E28" s="524"/>
      <c r="F28" s="524"/>
      <c r="G28" s="524"/>
      <c r="H28" s="524"/>
      <c r="I28" s="548"/>
    </row>
    <row r="29" spans="1:9" s="537" customFormat="1" ht="12.75" customHeight="1" thickBot="1">
      <c r="A29" s="534" t="s">
        <v>33</v>
      </c>
      <c r="B29" s="534"/>
      <c r="C29" s="549">
        <f>C18+C19+C23+C24</f>
        <v>24728000</v>
      </c>
      <c r="D29" s="549">
        <f>D18+D19+D23+D24</f>
        <v>73220367.4</v>
      </c>
      <c r="E29" s="549">
        <f>E18+E19+E23+E24</f>
        <v>0</v>
      </c>
      <c r="F29" s="549">
        <f>F18+F19+F23+F24</f>
        <v>42514688.269999996</v>
      </c>
      <c r="G29" s="549">
        <f>G18+G19+G23+G24+G25+G26</f>
        <v>19936683</v>
      </c>
      <c r="H29" s="549">
        <f>G29/F29*100</f>
        <v>46.89363561456028</v>
      </c>
      <c r="I29" s="550" t="s">
        <v>34</v>
      </c>
    </row>
    <row r="30" spans="1:9" ht="12.75" customHeight="1">
      <c r="A30" s="529"/>
      <c r="B30" s="547"/>
      <c r="C30" s="551"/>
      <c r="D30" s="551"/>
      <c r="E30" s="551"/>
      <c r="F30" s="551"/>
      <c r="G30" s="551"/>
      <c r="H30" s="551"/>
      <c r="I30" s="552"/>
    </row>
    <row r="32" spans="1:9" ht="9.75" customHeight="1">
      <c r="A32" s="553"/>
      <c r="B32" s="547"/>
      <c r="C32" s="554"/>
      <c r="D32" s="554"/>
      <c r="E32" s="554"/>
      <c r="F32" s="554"/>
      <c r="G32" s="554"/>
      <c r="H32" s="554"/>
      <c r="I32" s="545"/>
    </row>
    <row r="33" spans="3:9" ht="12.75">
      <c r="C33" s="555"/>
      <c r="D33" s="555"/>
      <c r="E33" s="555"/>
      <c r="F33" s="555"/>
      <c r="G33" s="555"/>
      <c r="H33" s="555"/>
      <c r="I33" s="547"/>
    </row>
    <row r="34" spans="3:9" ht="12.75">
      <c r="C34" s="555"/>
      <c r="D34" s="555"/>
      <c r="E34" s="555"/>
      <c r="F34" s="555"/>
      <c r="G34" s="555"/>
      <c r="H34" s="555"/>
      <c r="I34" s="547"/>
    </row>
    <row r="35" spans="3:9" ht="12.75">
      <c r="C35" s="555"/>
      <c r="D35" s="555"/>
      <c r="E35" s="555"/>
      <c r="F35" s="555"/>
      <c r="G35" s="555"/>
      <c r="H35" s="555"/>
      <c r="I35" s="547"/>
    </row>
    <row r="36" spans="3:9" ht="12.75">
      <c r="C36" s="555"/>
      <c r="D36" s="555"/>
      <c r="E36" s="555"/>
      <c r="F36" s="555"/>
      <c r="G36" s="555"/>
      <c r="H36" s="555"/>
      <c r="I36" s="547"/>
    </row>
    <row r="37" spans="3:9" ht="12.75">
      <c r="C37" s="555"/>
      <c r="D37" s="555"/>
      <c r="E37" s="555"/>
      <c r="F37" s="555"/>
      <c r="G37" s="555"/>
      <c r="H37" s="555"/>
      <c r="I37" s="547"/>
    </row>
    <row r="38" spans="3:9" ht="12.75">
      <c r="C38" s="555"/>
      <c r="D38" s="555"/>
      <c r="E38" s="555"/>
      <c r="F38" s="555"/>
      <c r="G38" s="555"/>
      <c r="H38" s="555"/>
      <c r="I38" s="547"/>
    </row>
    <row r="39" spans="3:9" ht="12.75">
      <c r="C39" s="555"/>
      <c r="D39" s="555"/>
      <c r="E39" s="555"/>
      <c r="F39" s="555"/>
      <c r="G39" s="555"/>
      <c r="H39" s="555"/>
      <c r="I39" s="547"/>
    </row>
    <row r="40" spans="3:9" ht="12.75">
      <c r="C40" s="555"/>
      <c r="D40" s="555"/>
      <c r="E40" s="555"/>
      <c r="F40" s="555"/>
      <c r="G40" s="555"/>
      <c r="H40" s="555"/>
      <c r="I40" s="547"/>
    </row>
    <row r="41" spans="3:9" ht="12.75">
      <c r="C41" s="555"/>
      <c r="D41" s="555"/>
      <c r="E41" s="555"/>
      <c r="F41" s="555"/>
      <c r="G41" s="555"/>
      <c r="H41" s="555"/>
      <c r="I41" s="547"/>
    </row>
    <row r="42" ht="12.75">
      <c r="I42" s="547"/>
    </row>
    <row r="43" ht="12.75">
      <c r="I43" s="547"/>
    </row>
    <row r="44" ht="12.75">
      <c r="I44" s="547"/>
    </row>
    <row r="45" ht="12.75">
      <c r="I45" s="547"/>
    </row>
    <row r="46" ht="12.75">
      <c r="I46" s="547"/>
    </row>
    <row r="47" ht="12.75">
      <c r="I47" s="547"/>
    </row>
    <row r="48" ht="12.75">
      <c r="I48" s="547"/>
    </row>
    <row r="49" ht="12.75">
      <c r="I49" s="547"/>
    </row>
    <row r="50" ht="12.75">
      <c r="I50" s="547"/>
    </row>
    <row r="51" ht="12.75">
      <c r="I51" s="547"/>
    </row>
    <row r="52" ht="12.75">
      <c r="I52" s="547"/>
    </row>
    <row r="53" ht="12.75">
      <c r="I53" s="547"/>
    </row>
    <row r="54" ht="12.75">
      <c r="I54" s="547"/>
    </row>
    <row r="55" ht="12.75">
      <c r="I55" s="547"/>
    </row>
    <row r="56" ht="12.75">
      <c r="I56" s="547"/>
    </row>
    <row r="57" ht="12.75">
      <c r="I57" s="547"/>
    </row>
    <row r="58" ht="12.75">
      <c r="I58" s="547"/>
    </row>
    <row r="59" ht="12.75">
      <c r="I59" s="547"/>
    </row>
    <row r="60" ht="12.75">
      <c r="I60" s="547"/>
    </row>
    <row r="61" ht="12.75">
      <c r="I61" s="547"/>
    </row>
    <row r="62" ht="12.75">
      <c r="I62" s="547"/>
    </row>
    <row r="63" ht="12.75">
      <c r="I63" s="547"/>
    </row>
    <row r="64" ht="12.75">
      <c r="I64" s="547"/>
    </row>
    <row r="65" ht="12.75">
      <c r="I65" s="547"/>
    </row>
    <row r="66" ht="12.75">
      <c r="I66" s="547"/>
    </row>
    <row r="67" ht="12.75">
      <c r="I67" s="547"/>
    </row>
    <row r="68" ht="12.75">
      <c r="I68" s="547"/>
    </row>
    <row r="69" ht="12.75">
      <c r="I69" s="547"/>
    </row>
  </sheetData>
  <printOptions gridLines="1" horizontalCentered="1" verticalCentered="1"/>
  <pageMargins left="0.29" right="0.5905511811023623" top="1.1811023622047245" bottom="1.1811023622047245" header="0.7874015748031497" footer="0.7874015748031497"/>
  <pageSetup horizontalDpi="600" verticalDpi="600" orientation="landscape" paperSize="9" r:id="rId1"/>
  <headerFooter alignWithMargins="0">
    <oddHeader>&amp;L&amp;11v Kč&amp;C&amp;"Arial CE,Tučné"&amp;12Fond rozvoje bydlení (klasický) - hospodaření k 31. 12. 2006&amp;R&amp;"Arial CE,Tučné"&amp;11Příloha č. 7</oddHeader>
    <oddFooter>&amp;C25</oddFooter>
  </headerFooter>
</worksheet>
</file>

<file path=xl/worksheets/sheet9.xml><?xml version="1.0" encoding="utf-8"?>
<worksheet xmlns="http://schemas.openxmlformats.org/spreadsheetml/2006/main" xmlns:r="http://schemas.openxmlformats.org/officeDocument/2006/relationships">
  <dimension ref="A1:I59"/>
  <sheetViews>
    <sheetView workbookViewId="0" topLeftCell="A1">
      <selection activeCell="B4" sqref="B4"/>
    </sheetView>
  </sheetViews>
  <sheetFormatPr defaultColWidth="9.00390625" defaultRowHeight="12.75" outlineLevelCol="1"/>
  <cols>
    <col min="1" max="1" width="19.00390625" style="538" customWidth="1"/>
    <col min="2" max="2" width="26.125" style="538" customWidth="1"/>
    <col min="3" max="3" width="11.25390625" style="556" customWidth="1"/>
    <col min="4" max="4" width="12.625" style="556" hidden="1" customWidth="1" outlineLevel="1"/>
    <col min="5" max="5" width="13.125" style="556" hidden="1" customWidth="1" outlineLevel="1"/>
    <col min="6" max="6" width="12.25390625" style="556" customWidth="1" collapsed="1"/>
    <col min="7" max="7" width="12.25390625" style="556" customWidth="1" outlineLevel="1"/>
    <col min="8" max="8" width="7.25390625" style="556" customWidth="1" outlineLevel="1"/>
    <col min="9" max="9" width="45.625" style="538" customWidth="1"/>
    <col min="10" max="26" width="9.125" style="532" customWidth="1" collapsed="1"/>
    <col min="27" max="16384" width="9.125" style="532" customWidth="1"/>
  </cols>
  <sheetData>
    <row r="1" spans="1:9" s="520" customFormat="1" ht="48" customHeight="1">
      <c r="A1" s="516" t="s">
        <v>461</v>
      </c>
      <c r="B1" s="517" t="s">
        <v>19</v>
      </c>
      <c r="C1" s="518" t="s">
        <v>20</v>
      </c>
      <c r="D1" s="518" t="s">
        <v>21</v>
      </c>
      <c r="E1" s="518" t="s">
        <v>696</v>
      </c>
      <c r="F1" s="518" t="s">
        <v>50</v>
      </c>
      <c r="G1" s="518" t="s">
        <v>51</v>
      </c>
      <c r="H1" s="518" t="s">
        <v>52</v>
      </c>
      <c r="I1" s="518" t="s">
        <v>437</v>
      </c>
    </row>
    <row r="2" spans="1:9" s="526" customFormat="1" ht="12.75" customHeight="1">
      <c r="A2" s="521"/>
      <c r="B2" s="522" t="s">
        <v>35</v>
      </c>
      <c r="C2" s="524">
        <v>0</v>
      </c>
      <c r="D2" s="524">
        <v>49283985.38</v>
      </c>
      <c r="E2" s="524"/>
      <c r="F2" s="524">
        <v>67988875.76</v>
      </c>
      <c r="G2" s="524">
        <v>67988875.76</v>
      </c>
      <c r="H2" s="524">
        <f>G2/F2*100</f>
        <v>100</v>
      </c>
      <c r="I2" s="525" t="s">
        <v>53</v>
      </c>
    </row>
    <row r="3" spans="1:9" s="526" customFormat="1" ht="12.75" customHeight="1">
      <c r="A3" s="521"/>
      <c r="B3" s="522" t="s">
        <v>35</v>
      </c>
      <c r="C3" s="524"/>
      <c r="D3" s="524"/>
      <c r="E3" s="524"/>
      <c r="F3" s="524">
        <v>-10400000</v>
      </c>
      <c r="G3" s="524">
        <v>-10400000</v>
      </c>
      <c r="H3" s="524">
        <f>G3/F3*100</f>
        <v>100</v>
      </c>
      <c r="I3" s="520" t="s">
        <v>54</v>
      </c>
    </row>
    <row r="4" spans="1:9" s="526" customFormat="1" ht="12.75" customHeight="1">
      <c r="A4" s="521"/>
      <c r="B4" s="522"/>
      <c r="C4" s="524"/>
      <c r="D4" s="524"/>
      <c r="E4" s="524"/>
      <c r="F4" s="524"/>
      <c r="G4" s="524"/>
      <c r="H4" s="524"/>
      <c r="I4" s="520" t="s">
        <v>55</v>
      </c>
    </row>
    <row r="5" spans="1:9" ht="12.75" customHeight="1">
      <c r="A5" s="529"/>
      <c r="B5" s="530" t="s">
        <v>27</v>
      </c>
      <c r="C5" s="524"/>
      <c r="D5" s="524"/>
      <c r="E5" s="524"/>
      <c r="F5" s="524"/>
      <c r="G5" s="524"/>
      <c r="H5" s="524"/>
      <c r="I5" s="531"/>
    </row>
    <row r="6" spans="1:9" ht="12.75" customHeight="1">
      <c r="A6" s="529"/>
      <c r="B6" s="530"/>
      <c r="C6" s="524"/>
      <c r="D6" s="524"/>
      <c r="E6" s="524"/>
      <c r="F6" s="524"/>
      <c r="G6" s="524"/>
      <c r="H6" s="524"/>
      <c r="I6" s="531"/>
    </row>
    <row r="7" spans="1:9" ht="12.75" customHeight="1">
      <c r="A7" s="529"/>
      <c r="B7" s="533" t="s">
        <v>86</v>
      </c>
      <c r="C7" s="524">
        <v>0</v>
      </c>
      <c r="D7" s="524"/>
      <c r="E7" s="524"/>
      <c r="F7" s="524">
        <v>0</v>
      </c>
      <c r="G7" s="524">
        <v>2041749.55</v>
      </c>
      <c r="H7" s="524">
        <v>0</v>
      </c>
      <c r="I7" s="531"/>
    </row>
    <row r="8" spans="1:9" ht="12.75" customHeight="1">
      <c r="A8" s="529"/>
      <c r="B8" s="533" t="s">
        <v>39</v>
      </c>
      <c r="C8" s="524">
        <v>6157000</v>
      </c>
      <c r="D8" s="524">
        <v>7527000</v>
      </c>
      <c r="E8" s="524">
        <v>7527000</v>
      </c>
      <c r="F8" s="524">
        <v>6157000</v>
      </c>
      <c r="G8" s="524">
        <v>4790609.07</v>
      </c>
      <c r="H8" s="524">
        <f>G8/F8*100</f>
        <v>77.80752103297061</v>
      </c>
      <c r="I8" s="531"/>
    </row>
    <row r="9" spans="1:9" ht="12.75" customHeight="1">
      <c r="A9" s="529"/>
      <c r="B9" s="533" t="s">
        <v>38</v>
      </c>
      <c r="C9" s="524">
        <v>0</v>
      </c>
      <c r="D9" s="524"/>
      <c r="E9" s="524"/>
      <c r="F9" s="524">
        <v>0</v>
      </c>
      <c r="G9" s="524">
        <v>-1823</v>
      </c>
      <c r="H9" s="524">
        <v>0</v>
      </c>
      <c r="I9" s="531"/>
    </row>
    <row r="10" spans="1:9" ht="12.75" customHeight="1" thickBot="1">
      <c r="A10" s="529"/>
      <c r="B10" s="529"/>
      <c r="C10" s="524"/>
      <c r="D10" s="524"/>
      <c r="E10" s="524"/>
      <c r="F10" s="524"/>
      <c r="G10" s="524"/>
      <c r="H10" s="524"/>
      <c r="I10" s="531"/>
    </row>
    <row r="11" spans="1:9" s="537" customFormat="1" ht="12.75" customHeight="1" thickBot="1">
      <c r="A11" s="534" t="s">
        <v>29</v>
      </c>
      <c r="B11" s="534"/>
      <c r="C11" s="557">
        <f>C2+C8</f>
        <v>6157000</v>
      </c>
      <c r="D11" s="557">
        <f>D2+D8</f>
        <v>56810985.38</v>
      </c>
      <c r="E11" s="557">
        <f>E2+E8</f>
        <v>7527000</v>
      </c>
      <c r="F11" s="557">
        <f>F2+F8+F3</f>
        <v>63745875.760000005</v>
      </c>
      <c r="G11" s="557">
        <f>G2+G8+G7+G9+G3</f>
        <v>64419411.38000001</v>
      </c>
      <c r="H11" s="558"/>
      <c r="I11" s="559"/>
    </row>
    <row r="12" spans="1:9" ht="12.75" customHeight="1">
      <c r="A12" s="521"/>
      <c r="B12" s="527"/>
      <c r="C12" s="560"/>
      <c r="D12" s="560"/>
      <c r="E12" s="560"/>
      <c r="F12" s="560"/>
      <c r="G12" s="560"/>
      <c r="H12" s="560"/>
      <c r="I12" s="521"/>
    </row>
    <row r="13" spans="1:9" ht="12.75" customHeight="1">
      <c r="A13" s="529"/>
      <c r="B13" s="530" t="s">
        <v>30</v>
      </c>
      <c r="C13" s="539"/>
      <c r="D13" s="539"/>
      <c r="E13" s="539"/>
      <c r="F13" s="539"/>
      <c r="G13" s="539"/>
      <c r="H13" s="539"/>
      <c r="I13" s="561" t="s">
        <v>56</v>
      </c>
    </row>
    <row r="14" spans="1:9" ht="12.75" customHeight="1">
      <c r="A14" s="533" t="s">
        <v>87</v>
      </c>
      <c r="B14" s="530"/>
      <c r="C14" s="539"/>
      <c r="D14" s="539"/>
      <c r="E14" s="539"/>
      <c r="F14" s="539"/>
      <c r="G14" s="539"/>
      <c r="H14" s="539"/>
      <c r="I14" s="561"/>
    </row>
    <row r="15" spans="1:9" ht="12.75" customHeight="1">
      <c r="A15" s="541"/>
      <c r="B15" s="533" t="s">
        <v>44</v>
      </c>
      <c r="C15" s="524">
        <v>5000</v>
      </c>
      <c r="D15" s="524">
        <v>10000</v>
      </c>
      <c r="E15" s="524"/>
      <c r="F15" s="524">
        <v>5000</v>
      </c>
      <c r="G15" s="524">
        <v>0</v>
      </c>
      <c r="H15" s="524">
        <f>G15/F15*100</f>
        <v>0</v>
      </c>
      <c r="I15" s="542"/>
    </row>
    <row r="16" spans="1:9" ht="12.75" customHeight="1">
      <c r="A16" s="541"/>
      <c r="B16" s="533" t="s">
        <v>43</v>
      </c>
      <c r="C16" s="524">
        <v>1000</v>
      </c>
      <c r="D16" s="524">
        <v>1000</v>
      </c>
      <c r="E16" s="524"/>
      <c r="F16" s="524">
        <f>D16+E16</f>
        <v>1000</v>
      </c>
      <c r="G16" s="524">
        <v>802</v>
      </c>
      <c r="H16" s="524">
        <f>G16/F16*100</f>
        <v>80.2</v>
      </c>
      <c r="I16" s="542"/>
    </row>
    <row r="17" spans="1:9" ht="12.75" customHeight="1">
      <c r="A17" s="541"/>
      <c r="B17" s="533"/>
      <c r="C17" s="524"/>
      <c r="D17" s="524"/>
      <c r="E17" s="524"/>
      <c r="F17" s="524"/>
      <c r="G17" s="524"/>
      <c r="H17" s="524"/>
      <c r="I17" s="542"/>
    </row>
    <row r="18" spans="1:9" ht="12.75" customHeight="1">
      <c r="A18" s="543" t="s">
        <v>45</v>
      </c>
      <c r="B18" s="533"/>
      <c r="C18" s="524"/>
      <c r="D18" s="524"/>
      <c r="E18" s="524"/>
      <c r="F18" s="524"/>
      <c r="G18" s="524"/>
      <c r="H18" s="524"/>
      <c r="I18" s="542"/>
    </row>
    <row r="19" spans="1:9" ht="12.75" customHeight="1">
      <c r="A19" s="544" t="s">
        <v>31</v>
      </c>
      <c r="B19" s="533"/>
      <c r="C19" s="524"/>
      <c r="D19" s="524"/>
      <c r="E19" s="524"/>
      <c r="F19" s="524"/>
      <c r="G19" s="524"/>
      <c r="H19" s="524"/>
      <c r="I19" s="542"/>
    </row>
    <row r="20" spans="1:9" ht="12.75" customHeight="1">
      <c r="A20" s="529"/>
      <c r="B20" s="533" t="s">
        <v>46</v>
      </c>
      <c r="C20" s="524">
        <v>50000</v>
      </c>
      <c r="D20" s="524">
        <v>50000</v>
      </c>
      <c r="E20" s="524"/>
      <c r="F20" s="524">
        <f>D20+E20</f>
        <v>50000</v>
      </c>
      <c r="G20" s="524">
        <v>31239</v>
      </c>
      <c r="H20" s="524">
        <f>G20/F20*100</f>
        <v>62.478</v>
      </c>
      <c r="I20" s="545"/>
    </row>
    <row r="21" spans="1:9" s="565" customFormat="1" ht="12.75" customHeight="1">
      <c r="A21" s="562"/>
      <c r="B21" s="563" t="s">
        <v>88</v>
      </c>
      <c r="C21" s="524">
        <v>6101000</v>
      </c>
      <c r="D21" s="524">
        <v>57874985.38</v>
      </c>
      <c r="E21" s="524"/>
      <c r="F21" s="524">
        <f>6101000+67988875.76</f>
        <v>74089875.76</v>
      </c>
      <c r="G21" s="524">
        <v>0</v>
      </c>
      <c r="H21" s="524">
        <f>G21/F21*100</f>
        <v>0</v>
      </c>
      <c r="I21" s="564" t="s">
        <v>57</v>
      </c>
    </row>
    <row r="22" spans="1:9" ht="12.75" customHeight="1">
      <c r="A22" s="529"/>
      <c r="B22" s="533"/>
      <c r="C22" s="524"/>
      <c r="D22" s="524"/>
      <c r="E22" s="524"/>
      <c r="F22" s="524"/>
      <c r="G22" s="524"/>
      <c r="H22" s="524"/>
      <c r="I22" s="546"/>
    </row>
    <row r="23" spans="1:9" ht="12.75" customHeight="1">
      <c r="A23" s="533" t="s">
        <v>89</v>
      </c>
      <c r="B23" s="533"/>
      <c r="C23" s="524"/>
      <c r="D23" s="524"/>
      <c r="E23" s="524"/>
      <c r="F23" s="524"/>
      <c r="G23" s="524"/>
      <c r="H23" s="524"/>
      <c r="I23" s="566"/>
    </row>
    <row r="24" spans="1:9" ht="12.75" customHeight="1">
      <c r="A24" s="547" t="s">
        <v>58</v>
      </c>
      <c r="B24" s="533" t="s">
        <v>90</v>
      </c>
      <c r="C24" s="524">
        <v>0</v>
      </c>
      <c r="D24" s="524"/>
      <c r="E24" s="524"/>
      <c r="F24" s="524">
        <v>10400000</v>
      </c>
      <c r="G24" s="524">
        <v>10400000</v>
      </c>
      <c r="H24" s="524">
        <f>G24/F24*100</f>
        <v>100</v>
      </c>
      <c r="I24" s="548" t="s">
        <v>59</v>
      </c>
    </row>
    <row r="25" spans="1:9" ht="12.75" customHeight="1" thickBot="1">
      <c r="A25" s="547"/>
      <c r="B25" s="547"/>
      <c r="C25" s="524"/>
      <c r="D25" s="524"/>
      <c r="E25" s="524"/>
      <c r="F25" s="524"/>
      <c r="G25" s="524"/>
      <c r="H25" s="524"/>
      <c r="I25" s="548" t="s">
        <v>60</v>
      </c>
    </row>
    <row r="26" spans="1:9" s="537" customFormat="1" ht="12.75" customHeight="1" thickBot="1">
      <c r="A26" s="534" t="s">
        <v>33</v>
      </c>
      <c r="B26" s="534"/>
      <c r="C26" s="549">
        <f>C15+C16+C20+C21</f>
        <v>6157000</v>
      </c>
      <c r="D26" s="549">
        <f>D15+D16+D20+D21</f>
        <v>57935985.38</v>
      </c>
      <c r="E26" s="549">
        <f>E15+E16+E20+E21</f>
        <v>0</v>
      </c>
      <c r="F26" s="549">
        <f>F15+F16+F20+F21</f>
        <v>74145875.76</v>
      </c>
      <c r="G26" s="549">
        <f>G15+G16+G20+G21</f>
        <v>32041</v>
      </c>
      <c r="H26" s="549">
        <f>G26/F26*100</f>
        <v>0.043213462207543824</v>
      </c>
      <c r="I26" s="550" t="s">
        <v>34</v>
      </c>
    </row>
    <row r="27" spans="3:9" ht="12.75">
      <c r="C27" s="555"/>
      <c r="D27" s="555"/>
      <c r="E27" s="555"/>
      <c r="F27" s="555"/>
      <c r="G27" s="555"/>
      <c r="H27" s="555"/>
      <c r="I27" s="547"/>
    </row>
    <row r="28" spans="3:9" ht="12.75">
      <c r="C28" s="555"/>
      <c r="D28" s="555"/>
      <c r="E28" s="555"/>
      <c r="F28" s="555"/>
      <c r="G28" s="555"/>
      <c r="H28" s="555"/>
      <c r="I28" s="547"/>
    </row>
    <row r="29" spans="1:9" s="569" customFormat="1" ht="12.75">
      <c r="A29" s="567" t="s">
        <v>61</v>
      </c>
      <c r="B29" s="567"/>
      <c r="C29" s="568">
        <f>C26+'[7]FRB klasika'!C29</f>
        <v>30885000</v>
      </c>
      <c r="D29" s="568">
        <f>D26+'[7]FRB klasika'!D29</f>
        <v>131156352.78</v>
      </c>
      <c r="E29" s="568">
        <f>E26+'[7]FRB klasika'!E29</f>
        <v>0</v>
      </c>
      <c r="F29" s="568">
        <f>F26+'[7]FRB klasika'!F29</f>
        <v>116660564.03</v>
      </c>
      <c r="G29" s="568">
        <f>G26+'[2]Př.7 FRB klasika'!G29+'Př.7 soc. fond'!D34</f>
        <v>25637735.37</v>
      </c>
      <c r="H29" s="568"/>
      <c r="I29" s="533"/>
    </row>
    <row r="30" spans="3:9" ht="12.75">
      <c r="C30" s="555"/>
      <c r="D30" s="555"/>
      <c r="E30" s="555"/>
      <c r="F30" s="555"/>
      <c r="G30" s="555"/>
      <c r="H30" s="555"/>
      <c r="I30" s="547"/>
    </row>
    <row r="31" spans="3:9" ht="12.75">
      <c r="C31" s="555"/>
      <c r="D31" s="555"/>
      <c r="E31" s="555"/>
      <c r="F31" s="555"/>
      <c r="G31" s="555"/>
      <c r="H31" s="555"/>
      <c r="I31" s="547"/>
    </row>
    <row r="32" ht="12.75">
      <c r="I32" s="547"/>
    </row>
    <row r="33" ht="12.75">
      <c r="I33" s="547"/>
    </row>
    <row r="34" ht="12.75">
      <c r="I34" s="547"/>
    </row>
    <row r="35" ht="12.75">
      <c r="I35" s="547"/>
    </row>
    <row r="36" ht="12.75">
      <c r="I36" s="547"/>
    </row>
    <row r="37" ht="12.75">
      <c r="I37" s="547"/>
    </row>
    <row r="38" ht="12.75">
      <c r="I38" s="547"/>
    </row>
    <row r="39" ht="12.75">
      <c r="I39" s="547"/>
    </row>
    <row r="40" ht="12.75">
      <c r="I40" s="547"/>
    </row>
    <row r="41" ht="12.75">
      <c r="I41" s="547"/>
    </row>
    <row r="42" ht="12.75">
      <c r="I42" s="547"/>
    </row>
    <row r="43" ht="12.75">
      <c r="I43" s="547"/>
    </row>
    <row r="44" ht="12.75">
      <c r="I44" s="547"/>
    </row>
    <row r="45" ht="12.75">
      <c r="I45" s="547"/>
    </row>
    <row r="46" ht="12.75">
      <c r="I46" s="547"/>
    </row>
    <row r="47" ht="12.75">
      <c r="I47" s="547"/>
    </row>
    <row r="48" ht="12.75">
      <c r="I48" s="547"/>
    </row>
    <row r="49" ht="12.75">
      <c r="I49" s="547"/>
    </row>
    <row r="50" ht="12.75">
      <c r="I50" s="547"/>
    </row>
    <row r="51" ht="12.75">
      <c r="I51" s="547"/>
    </row>
    <row r="52" ht="12.75">
      <c r="I52" s="547"/>
    </row>
    <row r="53" ht="12.75">
      <c r="I53" s="547"/>
    </row>
    <row r="54" ht="12.75">
      <c r="I54" s="547"/>
    </row>
    <row r="55" ht="12.75">
      <c r="I55" s="547"/>
    </row>
    <row r="56" ht="12.75">
      <c r="I56" s="547"/>
    </row>
    <row r="57" ht="12.75">
      <c r="I57" s="547"/>
    </row>
    <row r="58" ht="12.75">
      <c r="I58" s="547"/>
    </row>
    <row r="59" ht="12.75">
      <c r="I59" s="547"/>
    </row>
  </sheetData>
  <printOptions gridLines="1"/>
  <pageMargins left="0.56" right="0.7874015748031497" top="0.984251968503937" bottom="0.984251968503937" header="0.5118110236220472" footer="0.5118110236220472"/>
  <pageSetup firstPageNumber="26" useFirstPageNumber="1" horizontalDpi="600" verticalDpi="600" orientation="landscape" paperSize="9" r:id="rId1"/>
  <headerFooter alignWithMargins="0">
    <oddHeader>&amp;Lv Kč&amp;C&amp;"Arial CE,Tučné"&amp;12Fond rozvoje bydlení (povodňový) - hospodaření k 31. 12. 2006&amp;R&amp;"Arial CE,Tučné"&amp;11Příloha č. 7</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korpe</dc:creator>
  <cp:keywords/>
  <dc:description/>
  <cp:lastModifiedBy>korpe</cp:lastModifiedBy>
  <cp:lastPrinted>2007-04-18T12:02:49Z</cp:lastPrinted>
  <dcterms:created xsi:type="dcterms:W3CDTF">2007-04-18T09:43:30Z</dcterms:created>
  <dcterms:modified xsi:type="dcterms:W3CDTF">2007-05-22T05:43:46Z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